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Planilha" sheetId="1" r:id="rId1"/>
  </sheets>
  <definedNames/>
  <calcPr fullCalcOnLoad="1"/>
</workbook>
</file>

<file path=xl/sharedStrings.xml><?xml version="1.0" encoding="utf-8"?>
<sst xmlns="http://schemas.openxmlformats.org/spreadsheetml/2006/main" count="276" uniqueCount="197">
  <si>
    <t xml:space="preserve"> I - CUSTOS VARIÁVEIS</t>
  </si>
  <si>
    <t xml:space="preserve"> A - Combustível</t>
  </si>
  <si>
    <t>N.° de veículos</t>
  </si>
  <si>
    <t>Preço por litro</t>
  </si>
  <si>
    <t>Coefic. de consumo</t>
  </si>
  <si>
    <t xml:space="preserve">Custo por km </t>
  </si>
  <si>
    <t xml:space="preserve"> Custo Ponderado por km</t>
  </si>
  <si>
    <t xml:space="preserve"> Motor</t>
  </si>
  <si>
    <t xml:space="preserve"> </t>
  </si>
  <si>
    <t xml:space="preserve"> Freio</t>
  </si>
  <si>
    <t xml:space="preserve"> Graxa</t>
  </si>
  <si>
    <t xml:space="preserve"> Custo por km</t>
  </si>
  <si>
    <t>Preço unitário</t>
  </si>
  <si>
    <t>Quant. por veículo</t>
  </si>
  <si>
    <t xml:space="preserve">Preço total </t>
  </si>
  <si>
    <t xml:space="preserve"> Pneu novo </t>
  </si>
  <si>
    <t xml:space="preserve"> Recapagem </t>
  </si>
  <si>
    <t xml:space="preserve"> Total  </t>
  </si>
  <si>
    <t xml:space="preserve"> Custo ponderado da rodagem por km</t>
  </si>
  <si>
    <t>Custo por veículo</t>
  </si>
  <si>
    <t>Custo total</t>
  </si>
  <si>
    <t xml:space="preserve"> Total da frota  </t>
  </si>
  <si>
    <t xml:space="preserve"> Custo ponderado da rodagem por veículo</t>
  </si>
  <si>
    <t xml:space="preserve"> Custo ponderado da rodagem por km </t>
  </si>
  <si>
    <t xml:space="preserve"> Resumo dos custos variáveis</t>
  </si>
  <si>
    <t xml:space="preserve"> C - Rodagem </t>
  </si>
  <si>
    <t xml:space="preserve"> Custo variável total por km</t>
  </si>
  <si>
    <t xml:space="preserve"> II - CUSTOS FIXOS</t>
  </si>
  <si>
    <t xml:space="preserve">Ano do veículo </t>
  </si>
  <si>
    <t xml:space="preserve">N.° de veículos </t>
  </si>
  <si>
    <t xml:space="preserve">Preço atual </t>
  </si>
  <si>
    <t xml:space="preserve"> Valor ponderado da frota do sistema</t>
  </si>
  <si>
    <t>Total da frota</t>
  </si>
  <si>
    <t xml:space="preserve"> Valor total </t>
  </si>
  <si>
    <t xml:space="preserve"> Total de veículos </t>
  </si>
  <si>
    <t xml:space="preserve"> Valor do veículo ponderado do sistema</t>
  </si>
  <si>
    <t xml:space="preserve"> Valor do veículo ponderado do sistema menos rodagem</t>
  </si>
  <si>
    <t xml:space="preserve"> A - Custos de capital</t>
  </si>
  <si>
    <t xml:space="preserve"> A1 - Depreciação da frota</t>
  </si>
  <si>
    <t xml:space="preserve">Valor </t>
  </si>
  <si>
    <t>Coefic. depreciação</t>
  </si>
  <si>
    <t xml:space="preserve">Deprec. mensal </t>
  </si>
  <si>
    <t xml:space="preserve"> Quantidade de veículos</t>
  </si>
  <si>
    <t xml:space="preserve"> Depreciação mensal da frota</t>
  </si>
  <si>
    <t xml:space="preserve"> km por mês </t>
  </si>
  <si>
    <t xml:space="preserve"> Depreciação da frota por km</t>
  </si>
  <si>
    <t xml:space="preserve"> Valor residual da frota</t>
  </si>
  <si>
    <t>Valor unitário</t>
  </si>
  <si>
    <t>Valor residual</t>
  </si>
  <si>
    <t xml:space="preserve"> Soma</t>
  </si>
  <si>
    <t xml:space="preserve"> Quilometragem mensal da frota</t>
  </si>
  <si>
    <t xml:space="preserve"> Valor residual da frota por km</t>
  </si>
  <si>
    <t xml:space="preserve"> A3 - Remuneração do capital empregado no almoxarifado</t>
  </si>
  <si>
    <t>Remuner. mensal</t>
  </si>
  <si>
    <t xml:space="preserve"> Remuneração do capital empregado no almoxarifado por km</t>
  </si>
  <si>
    <t xml:space="preserve"> Resumo dos custos de capital</t>
  </si>
  <si>
    <t xml:space="preserve"> A2 - Depreciação mensal de máquinas, equipamentos e instalações   </t>
  </si>
  <si>
    <t xml:space="preserve"> A3 - Remuneração mensal do capital empregado no almoxarifado</t>
  </si>
  <si>
    <t xml:space="preserve"> Custo total do capital </t>
  </si>
  <si>
    <t xml:space="preserve"> Custo mensal por km</t>
  </si>
  <si>
    <t xml:space="preserve"> Custo mensal de capital por km</t>
  </si>
  <si>
    <t xml:space="preserve"> B - Despesas com peças e acessórios</t>
  </si>
  <si>
    <t xml:space="preserve"> Despesa mensal com peças e acessórios por km</t>
  </si>
  <si>
    <t xml:space="preserve"> C - Depesas com pessoal de operação e manutenção</t>
  </si>
  <si>
    <t xml:space="preserve"> C1 - Depesa mensal com pessoal de operação</t>
  </si>
  <si>
    <t>Salário</t>
  </si>
  <si>
    <t>Encargos sociais</t>
  </si>
  <si>
    <t>Fator de utilização</t>
  </si>
  <si>
    <t xml:space="preserve">Total  </t>
  </si>
  <si>
    <t xml:space="preserve"> Motorista </t>
  </si>
  <si>
    <t xml:space="preserve"> Depesa mensal com pessoal de operação</t>
  </si>
  <si>
    <t xml:space="preserve"> Despesa com pessoal de operação por km</t>
  </si>
  <si>
    <t xml:space="preserve"> C2 - Despesa com pessoal de manutenção</t>
  </si>
  <si>
    <t xml:space="preserve">Despesa mensal </t>
  </si>
  <si>
    <t xml:space="preserve"> Despesas com pessoal de operação e manutenção</t>
  </si>
  <si>
    <t xml:space="preserve"> Despesa mensal com pessoal de operação e manutenção</t>
  </si>
  <si>
    <t xml:space="preserve"> Despesa mensal com pessoal de operação e manutenção por km</t>
  </si>
  <si>
    <t xml:space="preserve"> D - Despesas administrativas</t>
  </si>
  <si>
    <t xml:space="preserve"> D1 - Pessoal administrativo </t>
  </si>
  <si>
    <t xml:space="preserve"> Despesa mensal </t>
  </si>
  <si>
    <t xml:space="preserve"> Total mensal </t>
  </si>
  <si>
    <t xml:space="preserve"> Despesa mensal com pessoal administrativo por veículo</t>
  </si>
  <si>
    <t xml:space="preserve"> Despesa mensal com pessoal administrativo por km</t>
  </si>
  <si>
    <t xml:space="preserve"> D2 - Outras despesas </t>
  </si>
  <si>
    <t xml:space="preserve"> D3 - Seguro passageiro </t>
  </si>
  <si>
    <t xml:space="preserve"> Prêmio mensal </t>
  </si>
  <si>
    <t xml:space="preserve"> Seguro passageiro por km </t>
  </si>
  <si>
    <t xml:space="preserve">Coefic. mensal </t>
  </si>
  <si>
    <t xml:space="preserve"> Seguro DPVAT por km </t>
  </si>
  <si>
    <t xml:space="preserve"> D5 - Pró-labore diretoria </t>
  </si>
  <si>
    <t>Pró-labore</t>
  </si>
  <si>
    <t xml:space="preserve">N.° de diretores </t>
  </si>
  <si>
    <t xml:space="preserve">Sub-total </t>
  </si>
  <si>
    <t xml:space="preserve">N.° de empresas </t>
  </si>
  <si>
    <t xml:space="preserve"> Diretor </t>
  </si>
  <si>
    <t xml:space="preserve">Total com INSS </t>
  </si>
  <si>
    <t xml:space="preserve">Total da frota </t>
  </si>
  <si>
    <t xml:space="preserve">Total por ônibus </t>
  </si>
  <si>
    <t xml:space="preserve"> Pró-labore por km </t>
  </si>
  <si>
    <t xml:space="preserve"> Custo mensal das despesas administrativas</t>
  </si>
  <si>
    <t xml:space="preserve"> Despesas administrativas por km</t>
  </si>
  <si>
    <t xml:space="preserve"> RESUMO DO CUSTO FIXO TOTAL P/QUILOMETRO</t>
  </si>
  <si>
    <t xml:space="preserve"> A - Custo de capital por km</t>
  </si>
  <si>
    <t xml:space="preserve"> B - Despesa com peças e acessórios por km </t>
  </si>
  <si>
    <t xml:space="preserve"> C - Depesas com pessoal de operação e manutenção por km</t>
  </si>
  <si>
    <t xml:space="preserve"> D - Despesas administrativas por km</t>
  </si>
  <si>
    <t xml:space="preserve"> Custo fixo total por km </t>
  </si>
  <si>
    <t xml:space="preserve"> Custo total por km </t>
  </si>
  <si>
    <t xml:space="preserve"> Tributos </t>
  </si>
  <si>
    <t>Porcentagem</t>
  </si>
  <si>
    <t>Índice</t>
  </si>
  <si>
    <t xml:space="preserve"> ISSQN</t>
  </si>
  <si>
    <t xml:space="preserve"> PIS</t>
  </si>
  <si>
    <t xml:space="preserve"> Soma </t>
  </si>
  <si>
    <t xml:space="preserve"> Índice de passageiros por km - IPK</t>
  </si>
  <si>
    <t xml:space="preserve"> RESUMO DOS ITENS DE CUSTO DA PLANILHA TARIFÁRIA</t>
  </si>
  <si>
    <t>VALOR</t>
  </si>
  <si>
    <t>% S/ CUSTO TOTAL</t>
  </si>
  <si>
    <t xml:space="preserve"> I - CUSTOS VARIAVEIS</t>
  </si>
  <si>
    <t xml:space="preserve"> A - COMBUSTIVEL</t>
  </si>
  <si>
    <t xml:space="preserve"> B - OLEOS E LUBRIFICANTES</t>
  </si>
  <si>
    <t xml:space="preserve"> C - RODAGEM</t>
  </si>
  <si>
    <t xml:space="preserve"> II - CUSTO FIXO TOTAL POR QUILOMETRO</t>
  </si>
  <si>
    <t xml:space="preserve"> A - CUSTO DE CAPITAL </t>
  </si>
  <si>
    <t xml:space="preserve"> A.1 - DEPRECIAÇAO DA FROTA</t>
  </si>
  <si>
    <t xml:space="preserve"> A.2 - DEPREC. MAQ., EQUIPAM. E INSTALAÇ.</t>
  </si>
  <si>
    <t xml:space="preserve"> A.3 - REMUN. CAPITAL EMPREGADO NO ALMOX.</t>
  </si>
  <si>
    <t xml:space="preserve"> B - DESPESA COM PEÇAS E ACESSORIOS </t>
  </si>
  <si>
    <t xml:space="preserve"> C - DESP. C/ PESSOAL OPERAÇÃO + MANUTENÇÃO</t>
  </si>
  <si>
    <t xml:space="preserve"> C.1 - DESPESA C/ PESSOAL OPERAÇÃO</t>
  </si>
  <si>
    <t xml:space="preserve"> C.2 - DESPESA C/ PESSOAL MANUTENÇÃO</t>
  </si>
  <si>
    <t xml:space="preserve"> D - CUSTO DAS DESPESAS ADMINISTRATIVAS </t>
  </si>
  <si>
    <t xml:space="preserve"> D.1 -   PESSOAL ADMINISTRATIVO</t>
  </si>
  <si>
    <t xml:space="preserve"> D.2 -   OUTRAS DESPESAS</t>
  </si>
  <si>
    <t xml:space="preserve"> D.3 -   SEGURO PASSAGEIRO</t>
  </si>
  <si>
    <t xml:space="preserve"> D.4 -   SEGURO DPVAT</t>
  </si>
  <si>
    <t xml:space="preserve"> D.5 -   PRÓ-LABORE</t>
  </si>
  <si>
    <t xml:space="preserve"> TRIBUTOS</t>
  </si>
  <si>
    <t xml:space="preserve"> CUSTO TOTAL POR QUILÔMETRO</t>
  </si>
  <si>
    <t xml:space="preserve"> D4 - Seguro DPVAT</t>
  </si>
  <si>
    <t xml:space="preserve"> A2 - Depreciação de Máquinas, Equip. e Instalações</t>
  </si>
  <si>
    <t xml:space="preserve"> B - Óleos lubrificantes</t>
  </si>
  <si>
    <t xml:space="preserve"> Caixa de mudança</t>
  </si>
  <si>
    <t xml:space="preserve"> Total da frota </t>
  </si>
  <si>
    <t xml:space="preserve"> Veículo pesado</t>
  </si>
  <si>
    <t xml:space="preserve"> Valor ponderado da frota do sistema (menos rodagem)</t>
  </si>
  <si>
    <t xml:space="preserve"> Valor do veículo ponderado do sistema (menos rodagem)</t>
  </si>
  <si>
    <t xml:space="preserve"> Depreciação da frota (menos valor residual)</t>
  </si>
  <si>
    <t xml:space="preserve"> Depreciação da frota por km (menos valor residual)</t>
  </si>
  <si>
    <t xml:space="preserve"> Protetor (2% pneu novo)</t>
  </si>
  <si>
    <t xml:space="preserve"> Depreciação de máquinas, equipamentos e instalações por km</t>
  </si>
  <si>
    <t xml:space="preserve"> A1 - Depreciação mensal da frota</t>
  </si>
  <si>
    <t>Coefic. remuneração</t>
  </si>
  <si>
    <t>Quantidade</t>
  </si>
  <si>
    <t>Coeficiente (FU)</t>
  </si>
  <si>
    <t xml:space="preserve"> Despesa mensal com pessoal de administração por veículo</t>
  </si>
  <si>
    <t xml:space="preserve"> C2 - Despesa mensal com pessoal de manutenção</t>
  </si>
  <si>
    <t xml:space="preserve"> Despesa mensal com pessoal de manutenção por km</t>
  </si>
  <si>
    <t xml:space="preserve"> Prêmio mensal (por veículo)</t>
  </si>
  <si>
    <t xml:space="preserve"> Seguro DPVAT (por veículo) </t>
  </si>
  <si>
    <t>INSS (20%)</t>
  </si>
  <si>
    <t xml:space="preserve"> Percurso médio mensal - PMM (km por mês)</t>
  </si>
  <si>
    <t xml:space="preserve"> RESUMO DE DESPESAS ADMINISTRATIVAS (POR VEÍCULO)</t>
  </si>
  <si>
    <t>Número de passageiros equivalentes (por mês)</t>
  </si>
  <si>
    <t xml:space="preserve"> Pessoal de manutenção</t>
  </si>
  <si>
    <t xml:space="preserve"> Pessoal de administração</t>
  </si>
  <si>
    <t xml:space="preserve"> Outras despesas com administração</t>
  </si>
  <si>
    <t xml:space="preserve"> Veículo leve</t>
  </si>
  <si>
    <t>PREFEITURA MUNICIPAL DE SÃO JERÔNIMO</t>
  </si>
  <si>
    <t>PLANILHA DE CÁLCULO TARIFÁRIO DO SITEMA DE TRANSPORTE ESCOLAR</t>
  </si>
  <si>
    <t>VEÍCULO:</t>
  </si>
  <si>
    <t xml:space="preserve"> Veículo ponderado do sistema </t>
  </si>
  <si>
    <t xml:space="preserve"> Veículo ponderado do sistema</t>
  </si>
  <si>
    <t xml:space="preserve"> Quilometragem mínima com 1 recapagens</t>
  </si>
  <si>
    <t xml:space="preserve"> Quilometragem mínima com 1 recapagem</t>
  </si>
  <si>
    <t>LOTAÇÃO:</t>
  </si>
  <si>
    <t xml:space="preserve"> Rodagem por km</t>
  </si>
  <si>
    <t xml:space="preserve"> Custo rodagem por km</t>
  </si>
  <si>
    <t xml:space="preserve"> Custo rodagem</t>
  </si>
  <si>
    <t xml:space="preserve"> Frota</t>
  </si>
  <si>
    <t xml:space="preserve"> Valor total da frota </t>
  </si>
  <si>
    <t xml:space="preserve"> Valor ponderado da frota</t>
  </si>
  <si>
    <t xml:space="preserve"> Frota (30% do valor médio ponderado da frota)</t>
  </si>
  <si>
    <t xml:space="preserve"> Valor total estimado por km com tributos</t>
  </si>
  <si>
    <t xml:space="preserve"> Quilometragem mensal da frota (média 22 dias úteis)</t>
  </si>
  <si>
    <t xml:space="preserve"> Veículo médio</t>
  </si>
  <si>
    <t xml:space="preserve"> Quilometragem total da frota em 1 ano</t>
  </si>
  <si>
    <t>DEPARTAMENTO DE TRÂNSITO - SÃO JERÔNIMO/RS</t>
  </si>
  <si>
    <t>Data/Calendário:</t>
  </si>
  <si>
    <t>(Marca/Modelo)</t>
  </si>
  <si>
    <t>PROPONENTE:</t>
  </si>
  <si>
    <t>(NOME DA EMPRESA CONFORME CADASTRO CNPJ)</t>
  </si>
  <si>
    <t xml:space="preserve"> Frota (Marca/Modelo/placas dos Veículos)</t>
  </si>
  <si>
    <t>15 lugares no mínimo</t>
  </si>
  <si>
    <t>Van Escolar</t>
  </si>
  <si>
    <t>RINCÃO DOS CORREA - EVA ALVES PEREIRA</t>
  </si>
  <si>
    <t>ROTEIRO: 03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</si>
</sst>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_(* #,##0.000000_);_(* \(#,##0.000000\);_(* &quot;-&quot;??_);_(@_)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_(* #,##0.0000000_);_(* \(#,##0.0000000\);_(* &quot;-&quot;??_);_(@_)"/>
    <numFmt numFmtId="186" formatCode="_(* #,##0.00000000_);_(* \(#,##0.00000000\);_(* &quot;-&quot;??_);_(@_)"/>
    <numFmt numFmtId="187" formatCode="yyyy/yyyy"/>
    <numFmt numFmtId="188" formatCode="&quot;R$&quot;\ #,##0.00"/>
  </numFmts>
  <fonts count="5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1" fontId="1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6" fillId="0" borderId="0" xfId="62" applyFont="1" applyBorder="1" applyAlignment="1">
      <alignment horizontal="left" vertical="center"/>
    </xf>
    <xf numFmtId="171" fontId="5" fillId="33" borderId="0" xfId="62" applyFont="1" applyFill="1" applyBorder="1" applyAlignment="1">
      <alignment horizontal="left" vertical="center"/>
    </xf>
    <xf numFmtId="171" fontId="6" fillId="33" borderId="0" xfId="62" applyFont="1" applyFill="1" applyBorder="1" applyAlignment="1">
      <alignment horizontal="left" vertical="center"/>
    </xf>
    <xf numFmtId="171" fontId="7" fillId="0" borderId="0" xfId="62" applyFont="1" applyBorder="1" applyAlignment="1">
      <alignment horizontal="left" vertical="center"/>
    </xf>
    <xf numFmtId="174" fontId="7" fillId="0" borderId="0" xfId="62" applyNumberFormat="1" applyFont="1" applyBorder="1" applyAlignment="1">
      <alignment horizontal="left" vertical="center"/>
    </xf>
    <xf numFmtId="177" fontId="7" fillId="0" borderId="0" xfId="62" applyNumberFormat="1" applyFont="1" applyBorder="1" applyAlignment="1">
      <alignment horizontal="left" vertical="center"/>
    </xf>
    <xf numFmtId="174" fontId="5" fillId="0" borderId="0" xfId="62" applyNumberFormat="1" applyFont="1" applyBorder="1" applyAlignment="1">
      <alignment horizontal="left" vertical="center"/>
    </xf>
    <xf numFmtId="177" fontId="6" fillId="0" borderId="0" xfId="62" applyNumberFormat="1" applyFont="1" applyBorder="1" applyAlignment="1">
      <alignment horizontal="left" vertical="center"/>
    </xf>
    <xf numFmtId="177" fontId="5" fillId="0" borderId="0" xfId="62" applyNumberFormat="1" applyFont="1" applyBorder="1" applyAlignment="1">
      <alignment horizontal="left" vertical="center"/>
    </xf>
    <xf numFmtId="171" fontId="5" fillId="0" borderId="0" xfId="62" applyFont="1" applyBorder="1" applyAlignment="1">
      <alignment horizontal="left" vertical="center"/>
    </xf>
    <xf numFmtId="174" fontId="6" fillId="0" borderId="0" xfId="62" applyNumberFormat="1" applyFont="1" applyBorder="1" applyAlignment="1">
      <alignment horizontal="left" vertical="center"/>
    </xf>
    <xf numFmtId="174" fontId="8" fillId="0" borderId="0" xfId="62" applyNumberFormat="1" applyFont="1" applyBorder="1" applyAlignment="1">
      <alignment horizontal="left" vertical="center"/>
    </xf>
    <xf numFmtId="174" fontId="9" fillId="0" borderId="0" xfId="62" applyNumberFormat="1" applyFont="1" applyBorder="1" applyAlignment="1">
      <alignment horizontal="left" vertical="center"/>
    </xf>
    <xf numFmtId="171" fontId="8" fillId="0" borderId="0" xfId="62" applyFont="1" applyBorder="1" applyAlignment="1">
      <alignment horizontal="left" vertical="center"/>
    </xf>
    <xf numFmtId="171" fontId="8" fillId="0" borderId="0" xfId="62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right" vertical="center"/>
    </xf>
    <xf numFmtId="174" fontId="8" fillId="0" borderId="0" xfId="62" applyNumberFormat="1" applyFont="1" applyFill="1" applyBorder="1" applyAlignment="1">
      <alignment horizontal="left" vertical="center"/>
    </xf>
    <xf numFmtId="174" fontId="9" fillId="0" borderId="0" xfId="62" applyNumberFormat="1" applyFont="1" applyFill="1" applyBorder="1" applyAlignment="1">
      <alignment horizontal="left" vertical="center"/>
    </xf>
    <xf numFmtId="171" fontId="9" fillId="0" borderId="0" xfId="62" applyFont="1" applyFill="1" applyBorder="1" applyAlignment="1">
      <alignment horizontal="left" vertical="center"/>
    </xf>
    <xf numFmtId="171" fontId="9" fillId="0" borderId="0" xfId="62" applyFont="1" applyBorder="1" applyAlignment="1">
      <alignment horizontal="left" vertical="center"/>
    </xf>
    <xf numFmtId="171" fontId="6" fillId="0" borderId="0" xfId="62" applyNumberFormat="1" applyFont="1" applyBorder="1" applyAlignment="1">
      <alignment horizontal="left" vertical="center"/>
    </xf>
    <xf numFmtId="171" fontId="6" fillId="0" borderId="0" xfId="62" applyFont="1" applyFill="1" applyBorder="1" applyAlignment="1">
      <alignment horizontal="left" vertical="center"/>
    </xf>
    <xf numFmtId="174" fontId="6" fillId="0" borderId="0" xfId="62" applyNumberFormat="1" applyFont="1" applyFill="1" applyBorder="1" applyAlignment="1">
      <alignment horizontal="left" vertical="center"/>
    </xf>
    <xf numFmtId="171" fontId="5" fillId="0" borderId="0" xfId="62" applyNumberFormat="1" applyFont="1" applyBorder="1" applyAlignment="1">
      <alignment horizontal="left" vertical="center"/>
    </xf>
    <xf numFmtId="177" fontId="8" fillId="0" borderId="0" xfId="62" applyNumberFormat="1" applyFont="1" applyFill="1" applyBorder="1" applyAlignment="1">
      <alignment horizontal="left" vertical="center"/>
    </xf>
    <xf numFmtId="171" fontId="6" fillId="0" borderId="0" xfId="62" applyFont="1" applyAlignment="1">
      <alignment horizontal="left" vertical="center"/>
    </xf>
    <xf numFmtId="171" fontId="10" fillId="0" borderId="0" xfId="62" applyFont="1" applyBorder="1" applyAlignment="1">
      <alignment horizontal="left" vertical="center"/>
    </xf>
    <xf numFmtId="184" fontId="8" fillId="0" borderId="0" xfId="51" applyNumberFormat="1" applyFont="1" applyBorder="1" applyAlignment="1">
      <alignment horizontal="center" vertical="center"/>
    </xf>
    <xf numFmtId="9" fontId="8" fillId="0" borderId="0" xfId="51" applyFont="1" applyBorder="1" applyAlignment="1">
      <alignment horizontal="center" vertical="center"/>
    </xf>
    <xf numFmtId="171" fontId="6" fillId="0" borderId="0" xfId="62" applyFont="1" applyBorder="1" applyAlignment="1" applyProtection="1">
      <alignment horizontal="left" vertical="center"/>
      <protection locked="0"/>
    </xf>
    <xf numFmtId="171" fontId="7" fillId="0" borderId="0" xfId="62" applyFont="1" applyBorder="1" applyAlignment="1" applyProtection="1">
      <alignment horizontal="left" vertical="center"/>
      <protection locked="0"/>
    </xf>
    <xf numFmtId="174" fontId="8" fillId="0" borderId="0" xfId="62" applyNumberFormat="1" applyFont="1" applyFill="1" applyBorder="1" applyAlignment="1" applyProtection="1">
      <alignment horizontal="left" vertical="center"/>
      <protection locked="0"/>
    </xf>
    <xf numFmtId="171" fontId="8" fillId="0" borderId="0" xfId="62" applyFont="1" applyFill="1" applyBorder="1" applyAlignment="1" applyProtection="1">
      <alignment horizontal="left" vertical="center"/>
      <protection locked="0"/>
    </xf>
    <xf numFmtId="171" fontId="8" fillId="0" borderId="0" xfId="62" applyFont="1" applyBorder="1" applyAlignment="1" applyProtection="1">
      <alignment horizontal="left" vertical="center"/>
      <protection/>
    </xf>
    <xf numFmtId="174" fontId="8" fillId="0" borderId="0" xfId="62" applyNumberFormat="1" applyFont="1" applyBorder="1" applyAlignment="1" applyProtection="1">
      <alignment horizontal="left" vertical="center"/>
      <protection/>
    </xf>
    <xf numFmtId="171" fontId="7" fillId="0" borderId="0" xfId="62" applyFont="1" applyBorder="1" applyAlignment="1" applyProtection="1">
      <alignment horizontal="left" vertical="center"/>
      <protection/>
    </xf>
    <xf numFmtId="177" fontId="7" fillId="0" borderId="0" xfId="62" applyNumberFormat="1" applyFont="1" applyBorder="1" applyAlignment="1" applyProtection="1">
      <alignment horizontal="left" vertical="center"/>
      <protection/>
    </xf>
    <xf numFmtId="174" fontId="7" fillId="0" borderId="0" xfId="62" applyNumberFormat="1" applyFont="1" applyBorder="1" applyAlignment="1" applyProtection="1">
      <alignment horizontal="left" vertical="center"/>
      <protection locked="0"/>
    </xf>
    <xf numFmtId="188" fontId="11" fillId="34" borderId="10" xfId="62" applyNumberFormat="1" applyFont="1" applyFill="1" applyBorder="1" applyAlignment="1">
      <alignment horizontal="right" vertical="center"/>
    </xf>
    <xf numFmtId="171" fontId="6" fillId="0" borderId="0" xfId="62" applyFont="1" applyBorder="1" applyAlignment="1" applyProtection="1">
      <alignment horizontal="left" vertical="center"/>
      <protection/>
    </xf>
    <xf numFmtId="171" fontId="49" fillId="33" borderId="0" xfId="62" applyFont="1" applyFill="1" applyBorder="1" applyAlignment="1">
      <alignment horizontal="left" vertical="center"/>
    </xf>
    <xf numFmtId="171" fontId="5" fillId="0" borderId="0" xfId="62" applyFont="1" applyFill="1" applyAlignment="1">
      <alignment horizontal="right" vertical="center"/>
    </xf>
    <xf numFmtId="171" fontId="5" fillId="0" borderId="0" xfId="62" applyFont="1" applyFill="1" applyAlignment="1">
      <alignment horizontal="center" vertical="center"/>
    </xf>
    <xf numFmtId="171" fontId="5" fillId="35" borderId="0" xfId="62" applyFont="1" applyFill="1" applyBorder="1" applyAlignment="1">
      <alignment horizontal="center" vertical="center"/>
    </xf>
    <xf numFmtId="171" fontId="5" fillId="33" borderId="0" xfId="62" applyFont="1" applyFill="1" applyBorder="1" applyAlignment="1">
      <alignment horizontal="center" vertical="center"/>
    </xf>
    <xf numFmtId="14" fontId="12" fillId="33" borderId="0" xfId="62" applyNumberFormat="1" applyFont="1" applyFill="1" applyBorder="1" applyAlignment="1" applyProtection="1">
      <alignment horizontal="center" vertical="center"/>
      <protection locked="0"/>
    </xf>
    <xf numFmtId="171" fontId="5" fillId="0" borderId="0" xfId="62" applyFont="1" applyBorder="1" applyAlignment="1">
      <alignment horizontal="center" vertical="center"/>
    </xf>
    <xf numFmtId="171" fontId="6" fillId="0" borderId="0" xfId="62" applyFont="1" applyBorder="1" applyAlignment="1">
      <alignment horizontal="center" vertical="center"/>
    </xf>
    <xf numFmtId="187" fontId="8" fillId="0" borderId="0" xfId="62" applyNumberFormat="1" applyFont="1" applyBorder="1" applyAlignment="1" applyProtection="1">
      <alignment horizontal="center" vertical="center"/>
      <protection locked="0"/>
    </xf>
    <xf numFmtId="187" fontId="0" fillId="0" borderId="0" xfId="0" applyNumberFormat="1" applyAlignment="1" applyProtection="1">
      <alignment horizontal="center" vertical="center"/>
      <protection locked="0"/>
    </xf>
    <xf numFmtId="49" fontId="50" fillId="0" borderId="0" xfId="62" applyNumberFormat="1" applyFont="1" applyAlignment="1" applyProtection="1">
      <alignment horizontal="left" vertical="center"/>
      <protection locked="0"/>
    </xf>
    <xf numFmtId="49" fontId="50" fillId="0" borderId="0" xfId="0" applyNumberFormat="1" applyFont="1" applyAlignment="1" applyProtection="1">
      <alignment vertical="center"/>
      <protection locked="0"/>
    </xf>
    <xf numFmtId="171" fontId="6" fillId="0" borderId="0" xfId="62" applyFont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SheetLayoutView="100" zoomScalePageLayoutView="0" workbookViewId="0" topLeftCell="A1">
      <selection activeCell="F9" sqref="F9:F10"/>
    </sheetView>
  </sheetViews>
  <sheetFormatPr defaultColWidth="15.7109375" defaultRowHeight="11.25" customHeight="1"/>
  <cols>
    <col min="1" max="6" width="17.8515625" style="29" customWidth="1"/>
    <col min="7" max="16384" width="15.7109375" style="1" customWidth="1"/>
  </cols>
  <sheetData>
    <row r="1" spans="1:6" ht="11.25" customHeight="1">
      <c r="A1" s="45"/>
      <c r="B1" s="45"/>
      <c r="C1" s="45"/>
      <c r="D1" s="45"/>
      <c r="E1" s="45"/>
      <c r="F1" s="45"/>
    </row>
    <row r="2" spans="1:6" ht="11.25" customHeight="1">
      <c r="A2" s="45"/>
      <c r="B2" s="45"/>
      <c r="C2" s="45"/>
      <c r="D2" s="45"/>
      <c r="E2" s="45"/>
      <c r="F2" s="45"/>
    </row>
    <row r="3" spans="1:6" ht="11.25" customHeight="1">
      <c r="A3" s="46" t="s">
        <v>168</v>
      </c>
      <c r="B3" s="46"/>
      <c r="C3" s="46"/>
      <c r="D3" s="46"/>
      <c r="E3" s="46"/>
      <c r="F3" s="46"/>
    </row>
    <row r="4" spans="1:6" ht="11.25" customHeight="1">
      <c r="A4" s="46"/>
      <c r="B4" s="46"/>
      <c r="C4" s="46"/>
      <c r="D4" s="46"/>
      <c r="E4" s="46"/>
      <c r="F4" s="46"/>
    </row>
    <row r="5" spans="1:6" ht="11.25" customHeight="1">
      <c r="A5" s="46" t="s">
        <v>169</v>
      </c>
      <c r="B5" s="46"/>
      <c r="C5" s="46"/>
      <c r="D5" s="46"/>
      <c r="E5" s="46"/>
      <c r="F5" s="46"/>
    </row>
    <row r="6" spans="1:6" ht="11.25" customHeight="1">
      <c r="A6" s="46"/>
      <c r="B6" s="46"/>
      <c r="C6" s="46"/>
      <c r="D6" s="46"/>
      <c r="E6" s="46"/>
      <c r="F6" s="46"/>
    </row>
    <row r="7" spans="1:6" ht="11.25" customHeight="1">
      <c r="A7" s="50"/>
      <c r="B7" s="51"/>
      <c r="C7" s="51"/>
      <c r="D7" s="51"/>
      <c r="E7" s="51"/>
      <c r="F7" s="51"/>
    </row>
    <row r="8" spans="1:6" ht="15" customHeight="1">
      <c r="A8" s="30" t="s">
        <v>190</v>
      </c>
      <c r="B8" s="54" t="s">
        <v>191</v>
      </c>
      <c r="C8" s="55"/>
      <c r="D8" s="55"/>
      <c r="E8" s="55"/>
      <c r="F8" s="55"/>
    </row>
    <row r="9" spans="1:6" ht="11.25" customHeight="1">
      <c r="A9" s="30" t="s">
        <v>196</v>
      </c>
      <c r="B9" s="13" t="s">
        <v>195</v>
      </c>
      <c r="C9" s="13"/>
      <c r="D9" s="13"/>
      <c r="E9" s="48" t="s">
        <v>188</v>
      </c>
      <c r="F9" s="49">
        <v>43467</v>
      </c>
    </row>
    <row r="10" spans="1:6" ht="11.25" customHeight="1">
      <c r="A10" s="30" t="s">
        <v>170</v>
      </c>
      <c r="B10" s="13" t="s">
        <v>194</v>
      </c>
      <c r="C10" s="4"/>
      <c r="D10" s="4"/>
      <c r="E10" s="48"/>
      <c r="F10" s="49"/>
    </row>
    <row r="11" spans="1:6" ht="11.25" customHeight="1">
      <c r="A11" s="30" t="s">
        <v>175</v>
      </c>
      <c r="B11" s="13" t="s">
        <v>193</v>
      </c>
      <c r="C11" s="4"/>
      <c r="D11" s="4"/>
      <c r="E11" s="4"/>
      <c r="F11" s="4"/>
    </row>
    <row r="12" spans="1:6" ht="11.25" customHeight="1">
      <c r="A12" s="47" t="s">
        <v>0</v>
      </c>
      <c r="B12" s="47"/>
      <c r="C12" s="47"/>
      <c r="D12" s="47"/>
      <c r="E12" s="47"/>
      <c r="F12" s="47"/>
    </row>
    <row r="13" spans="1:6" ht="11.25" customHeight="1">
      <c r="A13" s="47"/>
      <c r="B13" s="47"/>
      <c r="C13" s="47"/>
      <c r="D13" s="47"/>
      <c r="E13" s="47"/>
      <c r="F13" s="47"/>
    </row>
    <row r="14" spans="1:6" ht="11.25" customHeight="1">
      <c r="A14" s="4"/>
      <c r="B14" s="4"/>
      <c r="C14" s="4"/>
      <c r="D14" s="4"/>
      <c r="E14" s="4"/>
      <c r="F14" s="4"/>
    </row>
    <row r="15" spans="1:6" ht="11.25" customHeight="1">
      <c r="A15" s="5" t="s">
        <v>1</v>
      </c>
      <c r="B15" s="6"/>
      <c r="C15" s="6" t="s">
        <v>2</v>
      </c>
      <c r="D15" s="6" t="s">
        <v>3</v>
      </c>
      <c r="E15" s="6" t="s">
        <v>4</v>
      </c>
      <c r="F15" s="6" t="s">
        <v>5</v>
      </c>
    </row>
    <row r="16" spans="1:6" s="2" customFormat="1" ht="11.25" customHeight="1">
      <c r="A16" s="7" t="s">
        <v>167</v>
      </c>
      <c r="B16" s="7"/>
      <c r="C16" s="41">
        <v>1</v>
      </c>
      <c r="D16" s="34">
        <v>4.6</v>
      </c>
      <c r="E16" s="40">
        <v>0.14285</v>
      </c>
      <c r="F16" s="9">
        <f>(C16*D16*E16)</f>
        <v>0.65711</v>
      </c>
    </row>
    <row r="17" spans="1:6" s="2" customFormat="1" ht="11.25" customHeight="1">
      <c r="A17" s="7" t="s">
        <v>185</v>
      </c>
      <c r="B17" s="7"/>
      <c r="C17" s="41">
        <v>0</v>
      </c>
      <c r="D17" s="34">
        <v>0</v>
      </c>
      <c r="E17" s="40">
        <v>0.28571</v>
      </c>
      <c r="F17" s="9">
        <f>(C17*D17*E17)</f>
        <v>0</v>
      </c>
    </row>
    <row r="18" spans="1:6" s="2" customFormat="1" ht="11.25" customHeight="1">
      <c r="A18" s="7" t="s">
        <v>144</v>
      </c>
      <c r="B18" s="7"/>
      <c r="C18" s="41">
        <v>0</v>
      </c>
      <c r="D18" s="34">
        <v>0</v>
      </c>
      <c r="E18" s="40">
        <v>0.34482</v>
      </c>
      <c r="F18" s="9">
        <f>(C18*D18*E18)</f>
        <v>0</v>
      </c>
    </row>
    <row r="19" spans="1:6" ht="11.25" customHeight="1">
      <c r="A19" s="4" t="s">
        <v>143</v>
      </c>
      <c r="B19" s="4"/>
      <c r="C19" s="10">
        <f>SUM(C16:C18)</f>
        <v>1</v>
      </c>
      <c r="D19" s="4"/>
      <c r="E19" s="4"/>
      <c r="F19" s="11">
        <f>SUM(F16:F18)</f>
        <v>0.65711</v>
      </c>
    </row>
    <row r="20" spans="1:6" ht="11.25" customHeight="1">
      <c r="A20" s="4" t="s">
        <v>6</v>
      </c>
      <c r="B20" s="4"/>
      <c r="C20" s="4"/>
      <c r="D20" s="4"/>
      <c r="E20" s="4"/>
      <c r="F20" s="12">
        <f>F19/C19</f>
        <v>0.65711</v>
      </c>
    </row>
    <row r="21" spans="1:6" ht="11.25" customHeight="1">
      <c r="A21" s="4"/>
      <c r="B21" s="4"/>
      <c r="C21" s="4"/>
      <c r="D21" s="4"/>
      <c r="E21" s="4"/>
      <c r="F21" s="4"/>
    </row>
    <row r="22" spans="1:6" ht="11.25" customHeight="1">
      <c r="A22" s="5" t="s">
        <v>141</v>
      </c>
      <c r="B22" s="6"/>
      <c r="C22" s="6"/>
      <c r="D22" s="6" t="s">
        <v>3</v>
      </c>
      <c r="E22" s="6" t="s">
        <v>4</v>
      </c>
      <c r="F22" s="6" t="s">
        <v>5</v>
      </c>
    </row>
    <row r="23" spans="1:6" ht="11.25" customHeight="1">
      <c r="A23" s="4" t="s">
        <v>7</v>
      </c>
      <c r="B23" s="4"/>
      <c r="C23" s="4"/>
      <c r="D23" s="33">
        <v>44.8</v>
      </c>
      <c r="E23" s="11">
        <v>0.0016774</v>
      </c>
      <c r="F23" s="11">
        <f>(D23*E23)</f>
        <v>0.07514752</v>
      </c>
    </row>
    <row r="24" spans="1:6" ht="11.25" customHeight="1">
      <c r="A24" s="4" t="s">
        <v>142</v>
      </c>
      <c r="B24" s="4"/>
      <c r="C24" s="4" t="s">
        <v>8</v>
      </c>
      <c r="D24" s="33">
        <v>22</v>
      </c>
      <c r="E24" s="11">
        <v>0.0003707</v>
      </c>
      <c r="F24" s="11">
        <f>(D24*E24)</f>
        <v>0.0081554</v>
      </c>
    </row>
    <row r="25" spans="1:6" ht="11.25" customHeight="1">
      <c r="A25" s="4" t="s">
        <v>9</v>
      </c>
      <c r="B25" s="4"/>
      <c r="C25" s="4" t="s">
        <v>8</v>
      </c>
      <c r="D25" s="33">
        <v>21.6</v>
      </c>
      <c r="E25" s="11">
        <v>1.68E-05</v>
      </c>
      <c r="F25" s="11">
        <f>(D25*E25)</f>
        <v>0.00036288</v>
      </c>
    </row>
    <row r="26" spans="1:6" ht="11.25" customHeight="1">
      <c r="A26" s="4" t="s">
        <v>10</v>
      </c>
      <c r="B26" s="4"/>
      <c r="C26" s="4" t="s">
        <v>8</v>
      </c>
      <c r="D26" s="33">
        <v>18.7</v>
      </c>
      <c r="E26" s="11">
        <v>0.0001266</v>
      </c>
      <c r="F26" s="11">
        <f>(D26*E26)</f>
        <v>0.00236742</v>
      </c>
    </row>
    <row r="27" spans="1:6" ht="11.25" customHeight="1">
      <c r="A27" s="4" t="s">
        <v>11</v>
      </c>
      <c r="B27" s="4"/>
      <c r="C27" s="4"/>
      <c r="D27" s="4"/>
      <c r="E27" s="4"/>
      <c r="F27" s="12">
        <f>SUM(F23:F26)</f>
        <v>0.08603322</v>
      </c>
    </row>
    <row r="28" spans="1:6" ht="11.25" customHeight="1">
      <c r="A28" s="4"/>
      <c r="B28" s="4"/>
      <c r="C28" s="4"/>
      <c r="D28" s="4"/>
      <c r="E28" s="4"/>
      <c r="F28" s="4"/>
    </row>
    <row r="29" spans="1:6" ht="11.25" customHeight="1">
      <c r="A29" s="5" t="s">
        <v>176</v>
      </c>
      <c r="B29" s="6"/>
      <c r="C29" s="6"/>
      <c r="D29" s="6" t="s">
        <v>12</v>
      </c>
      <c r="E29" s="6" t="s">
        <v>13</v>
      </c>
      <c r="F29" s="6" t="s">
        <v>14</v>
      </c>
    </row>
    <row r="30" spans="1:6" ht="11.25" customHeight="1">
      <c r="A30" s="7" t="s">
        <v>15</v>
      </c>
      <c r="B30" s="7"/>
      <c r="C30" s="7"/>
      <c r="D30" s="34">
        <v>420</v>
      </c>
      <c r="E30" s="8">
        <v>4</v>
      </c>
      <c r="F30" s="7">
        <f>(D30*E30)</f>
        <v>1680</v>
      </c>
    </row>
    <row r="31" spans="1:6" ht="11.25" customHeight="1">
      <c r="A31" s="7" t="s">
        <v>16</v>
      </c>
      <c r="B31" s="7"/>
      <c r="C31" s="7"/>
      <c r="D31" s="39">
        <f>(D30/4)</f>
        <v>105</v>
      </c>
      <c r="E31" s="8">
        <v>4</v>
      </c>
      <c r="F31" s="7">
        <f>(D31*E31)</f>
        <v>420</v>
      </c>
    </row>
    <row r="32" spans="1:6" ht="11.25" customHeight="1">
      <c r="A32" s="7" t="s">
        <v>149</v>
      </c>
      <c r="B32" s="7"/>
      <c r="C32" s="7"/>
      <c r="D32" s="39">
        <v>0</v>
      </c>
      <c r="E32" s="8">
        <v>0</v>
      </c>
      <c r="F32" s="7">
        <f>(D32*E32)</f>
        <v>0</v>
      </c>
    </row>
    <row r="33" spans="1:6" ht="11.25" customHeight="1">
      <c r="A33" s="4" t="s">
        <v>17</v>
      </c>
      <c r="B33" s="4"/>
      <c r="C33" s="4"/>
      <c r="D33" s="4"/>
      <c r="E33" s="4"/>
      <c r="F33" s="13">
        <f>SUM(F30:F32)</f>
        <v>2100</v>
      </c>
    </row>
    <row r="34" spans="1:6" ht="11.25" customHeight="1">
      <c r="A34" s="4" t="s">
        <v>174</v>
      </c>
      <c r="B34" s="4"/>
      <c r="C34" s="4"/>
      <c r="D34" s="4"/>
      <c r="E34" s="4"/>
      <c r="F34" s="14">
        <v>95000</v>
      </c>
    </row>
    <row r="35" spans="1:6" ht="11.25" customHeight="1">
      <c r="A35" s="4" t="s">
        <v>177</v>
      </c>
      <c r="B35" s="4"/>
      <c r="C35" s="4"/>
      <c r="D35" s="4"/>
      <c r="E35" s="4"/>
      <c r="F35" s="12">
        <f>F33/F34</f>
        <v>0.022105263157894735</v>
      </c>
    </row>
    <row r="36" spans="1:6" ht="11.25" customHeight="1">
      <c r="A36" s="4"/>
      <c r="B36" s="4"/>
      <c r="C36" s="4"/>
      <c r="D36" s="4"/>
      <c r="E36" s="4"/>
      <c r="F36" s="12"/>
    </row>
    <row r="37" spans="1:6" ht="11.25" customHeight="1">
      <c r="A37" s="5" t="s">
        <v>18</v>
      </c>
      <c r="B37" s="6"/>
      <c r="C37" s="6"/>
      <c r="D37" s="6" t="s">
        <v>19</v>
      </c>
      <c r="E37" s="6" t="s">
        <v>2</v>
      </c>
      <c r="F37" s="6" t="s">
        <v>20</v>
      </c>
    </row>
    <row r="38" spans="1:6" ht="11.25" customHeight="1">
      <c r="A38" s="4" t="s">
        <v>178</v>
      </c>
      <c r="B38" s="4"/>
      <c r="C38" s="4"/>
      <c r="D38" s="4">
        <f>F33</f>
        <v>2100</v>
      </c>
      <c r="E38" s="15">
        <f>SUM(C19)</f>
        <v>1</v>
      </c>
      <c r="F38" s="4">
        <f>D38*E38</f>
        <v>2100</v>
      </c>
    </row>
    <row r="39" spans="1:6" ht="11.25" customHeight="1">
      <c r="A39" s="4" t="s">
        <v>21</v>
      </c>
      <c r="B39" s="4"/>
      <c r="C39" s="4"/>
      <c r="D39" s="4"/>
      <c r="E39" s="16">
        <f>SUM(E38:E38)</f>
        <v>1</v>
      </c>
      <c r="F39" s="13">
        <f>SUM(F38:F38)</f>
        <v>2100</v>
      </c>
    </row>
    <row r="40" spans="1:6" ht="11.25" customHeight="1">
      <c r="A40" s="4" t="s">
        <v>22</v>
      </c>
      <c r="B40" s="4"/>
      <c r="C40" s="4"/>
      <c r="D40" s="4"/>
      <c r="E40" s="4"/>
      <c r="F40" s="4">
        <f>F39/E39</f>
        <v>2100</v>
      </c>
    </row>
    <row r="41" spans="1:6" ht="11.25" customHeight="1">
      <c r="A41" s="4" t="s">
        <v>173</v>
      </c>
      <c r="B41" s="4"/>
      <c r="C41" s="4"/>
      <c r="D41" s="4"/>
      <c r="E41" s="4"/>
      <c r="F41" s="14">
        <f>SUM(F34)</f>
        <v>95000</v>
      </c>
    </row>
    <row r="42" spans="1:6" ht="11.25" customHeight="1">
      <c r="A42" s="4" t="s">
        <v>23</v>
      </c>
      <c r="B42" s="4"/>
      <c r="C42" s="4"/>
      <c r="D42" s="4"/>
      <c r="E42" s="4"/>
      <c r="F42" s="12">
        <f>F40/F41</f>
        <v>0.022105263157894735</v>
      </c>
    </row>
    <row r="43" spans="1:6" ht="11.25" customHeight="1">
      <c r="A43" s="4"/>
      <c r="B43" s="4"/>
      <c r="C43" s="4"/>
      <c r="D43" s="4"/>
      <c r="E43" s="4"/>
      <c r="F43" s="4"/>
    </row>
    <row r="44" spans="1:6" ht="11.25" customHeight="1">
      <c r="A44" s="5" t="s">
        <v>24</v>
      </c>
      <c r="B44" s="6"/>
      <c r="C44" s="6"/>
      <c r="D44" s="6"/>
      <c r="E44" s="6"/>
      <c r="F44" s="6"/>
    </row>
    <row r="45" spans="1:6" ht="11.25" customHeight="1">
      <c r="A45" s="4" t="s">
        <v>1</v>
      </c>
      <c r="B45" s="4"/>
      <c r="C45" s="4"/>
      <c r="D45" s="4"/>
      <c r="E45" s="4"/>
      <c r="F45" s="11">
        <f>F20</f>
        <v>0.65711</v>
      </c>
    </row>
    <row r="46" spans="1:6" ht="11.25" customHeight="1">
      <c r="A46" s="4" t="s">
        <v>141</v>
      </c>
      <c r="B46" s="4"/>
      <c r="C46" s="4"/>
      <c r="D46" s="4"/>
      <c r="E46" s="4"/>
      <c r="F46" s="11">
        <f>F27</f>
        <v>0.08603322</v>
      </c>
    </row>
    <row r="47" spans="1:6" ht="11.25" customHeight="1">
      <c r="A47" s="4" t="s">
        <v>25</v>
      </c>
      <c r="B47" s="4"/>
      <c r="C47" s="4"/>
      <c r="D47" s="4"/>
      <c r="E47" s="4"/>
      <c r="F47" s="11">
        <f>F42</f>
        <v>0.022105263157894735</v>
      </c>
    </row>
    <row r="48" spans="1:6" ht="11.25" customHeight="1">
      <c r="A48" s="4" t="s">
        <v>26</v>
      </c>
      <c r="B48" s="4"/>
      <c r="C48" s="4"/>
      <c r="D48" s="4"/>
      <c r="E48" s="4"/>
      <c r="F48" s="12">
        <f>SUM(F45:F47)</f>
        <v>0.7652484831578947</v>
      </c>
    </row>
    <row r="49" spans="1:6" ht="11.25" customHeight="1">
      <c r="A49" s="4"/>
      <c r="B49" s="4"/>
      <c r="C49" s="4"/>
      <c r="D49" s="4"/>
      <c r="E49" s="4"/>
      <c r="F49" s="12"/>
    </row>
    <row r="52" spans="1:6" ht="11.25" customHeight="1">
      <c r="A52" s="47" t="s">
        <v>27</v>
      </c>
      <c r="B52" s="47"/>
      <c r="C52" s="47"/>
      <c r="D52" s="47"/>
      <c r="E52" s="47"/>
      <c r="F52" s="47"/>
    </row>
    <row r="53" spans="1:6" ht="11.25" customHeight="1">
      <c r="A53" s="47"/>
      <c r="B53" s="47"/>
      <c r="C53" s="47"/>
      <c r="D53" s="47"/>
      <c r="E53" s="47"/>
      <c r="F53" s="47"/>
    </row>
    <row r="55" spans="1:6" ht="11.25" customHeight="1">
      <c r="A55" s="5" t="s">
        <v>192</v>
      </c>
      <c r="B55" s="6"/>
      <c r="C55" s="6" t="s">
        <v>28</v>
      </c>
      <c r="D55" s="6" t="s">
        <v>29</v>
      </c>
      <c r="E55" s="6" t="s">
        <v>30</v>
      </c>
      <c r="F55" s="6" t="s">
        <v>14</v>
      </c>
    </row>
    <row r="56" spans="1:6" s="2" customFormat="1" ht="11.25" customHeight="1">
      <c r="A56" s="52" t="s">
        <v>189</v>
      </c>
      <c r="B56" s="53"/>
      <c r="C56" s="19">
        <f aca="true" t="shared" si="0" ref="C56:C69">(C57-1)</f>
        <v>2004</v>
      </c>
      <c r="D56" s="35">
        <v>0</v>
      </c>
      <c r="E56" s="18">
        <f aca="true" t="shared" si="1" ref="E56:E69">(E57-(E57*0.1))</f>
        <v>13753.527623922551</v>
      </c>
      <c r="F56" s="18">
        <f aca="true" t="shared" si="2" ref="F56:F70">D56*E56</f>
        <v>0</v>
      </c>
    </row>
    <row r="57" spans="1:6" s="2" customFormat="1" ht="11.25" customHeight="1">
      <c r="A57" s="52" t="s">
        <v>189</v>
      </c>
      <c r="B57" s="53"/>
      <c r="C57" s="19">
        <f t="shared" si="0"/>
        <v>2005</v>
      </c>
      <c r="D57" s="35">
        <v>0</v>
      </c>
      <c r="E57" s="18">
        <f t="shared" si="1"/>
        <v>15281.697359913946</v>
      </c>
      <c r="F57" s="18">
        <f t="shared" si="2"/>
        <v>0</v>
      </c>
    </row>
    <row r="58" spans="1:6" s="2" customFormat="1" ht="11.25" customHeight="1">
      <c r="A58" s="52" t="s">
        <v>189</v>
      </c>
      <c r="B58" s="53"/>
      <c r="C58" s="19">
        <f t="shared" si="0"/>
        <v>2006</v>
      </c>
      <c r="D58" s="35">
        <v>0</v>
      </c>
      <c r="E58" s="18">
        <f t="shared" si="1"/>
        <v>16979.663733237718</v>
      </c>
      <c r="F58" s="18">
        <f t="shared" si="2"/>
        <v>0</v>
      </c>
    </row>
    <row r="59" spans="1:6" s="2" customFormat="1" ht="11.25" customHeight="1">
      <c r="A59" s="52" t="s">
        <v>189</v>
      </c>
      <c r="B59" s="53"/>
      <c r="C59" s="19">
        <f t="shared" si="0"/>
        <v>2007</v>
      </c>
      <c r="D59" s="35">
        <v>0</v>
      </c>
      <c r="E59" s="18">
        <f t="shared" si="1"/>
        <v>18866.293036930798</v>
      </c>
      <c r="F59" s="18">
        <f t="shared" si="2"/>
        <v>0</v>
      </c>
    </row>
    <row r="60" spans="1:6" s="2" customFormat="1" ht="11.25" customHeight="1">
      <c r="A60" s="52" t="s">
        <v>189</v>
      </c>
      <c r="B60" s="53"/>
      <c r="C60" s="19">
        <f t="shared" si="0"/>
        <v>2008</v>
      </c>
      <c r="D60" s="35">
        <v>0</v>
      </c>
      <c r="E60" s="18">
        <f t="shared" si="1"/>
        <v>20962.547818811996</v>
      </c>
      <c r="F60" s="18">
        <f t="shared" si="2"/>
        <v>0</v>
      </c>
    </row>
    <row r="61" spans="1:6" s="2" customFormat="1" ht="11.25" customHeight="1">
      <c r="A61" s="52" t="s">
        <v>189</v>
      </c>
      <c r="B61" s="53"/>
      <c r="C61" s="19">
        <f t="shared" si="0"/>
        <v>2009</v>
      </c>
      <c r="D61" s="35">
        <v>0</v>
      </c>
      <c r="E61" s="18">
        <f t="shared" si="1"/>
        <v>23291.719798679995</v>
      </c>
      <c r="F61" s="18">
        <f t="shared" si="2"/>
        <v>0</v>
      </c>
    </row>
    <row r="62" spans="1:6" s="2" customFormat="1" ht="11.25" customHeight="1">
      <c r="A62" s="52" t="s">
        <v>189</v>
      </c>
      <c r="B62" s="53"/>
      <c r="C62" s="19">
        <f t="shared" si="0"/>
        <v>2010</v>
      </c>
      <c r="D62" s="35">
        <v>0</v>
      </c>
      <c r="E62" s="18">
        <f t="shared" si="1"/>
        <v>25879.688665199996</v>
      </c>
      <c r="F62" s="18">
        <f t="shared" si="2"/>
        <v>0</v>
      </c>
    </row>
    <row r="63" spans="1:6" s="2" customFormat="1" ht="11.25" customHeight="1">
      <c r="A63" s="52" t="s">
        <v>189</v>
      </c>
      <c r="B63" s="53"/>
      <c r="C63" s="19">
        <f t="shared" si="0"/>
        <v>2011</v>
      </c>
      <c r="D63" s="35">
        <v>0</v>
      </c>
      <c r="E63" s="18">
        <f t="shared" si="1"/>
        <v>28755.209627999997</v>
      </c>
      <c r="F63" s="18">
        <f t="shared" si="2"/>
        <v>0</v>
      </c>
    </row>
    <row r="64" spans="1:6" s="2" customFormat="1" ht="11.25" customHeight="1">
      <c r="A64" s="52" t="s">
        <v>189</v>
      </c>
      <c r="B64" s="53"/>
      <c r="C64" s="19">
        <f t="shared" si="0"/>
        <v>2012</v>
      </c>
      <c r="D64" s="35">
        <v>0</v>
      </c>
      <c r="E64" s="18">
        <f t="shared" si="1"/>
        <v>31950.232919999995</v>
      </c>
      <c r="F64" s="18">
        <f t="shared" si="2"/>
        <v>0</v>
      </c>
    </row>
    <row r="65" spans="1:6" s="2" customFormat="1" ht="11.25" customHeight="1">
      <c r="A65" s="52" t="s">
        <v>189</v>
      </c>
      <c r="B65" s="53"/>
      <c r="C65" s="19">
        <f t="shared" si="0"/>
        <v>2013</v>
      </c>
      <c r="D65" s="35">
        <v>1</v>
      </c>
      <c r="E65" s="18">
        <f t="shared" si="1"/>
        <v>35500.258799999996</v>
      </c>
      <c r="F65" s="18">
        <f t="shared" si="2"/>
        <v>35500.258799999996</v>
      </c>
    </row>
    <row r="66" spans="1:6" s="2" customFormat="1" ht="11.25" customHeight="1">
      <c r="A66" s="52" t="s">
        <v>189</v>
      </c>
      <c r="B66" s="53"/>
      <c r="C66" s="19">
        <f t="shared" si="0"/>
        <v>2014</v>
      </c>
      <c r="D66" s="35">
        <v>0</v>
      </c>
      <c r="E66" s="18">
        <f t="shared" si="1"/>
        <v>39444.731999999996</v>
      </c>
      <c r="F66" s="18">
        <f t="shared" si="2"/>
        <v>0</v>
      </c>
    </row>
    <row r="67" spans="1:6" s="2" customFormat="1" ht="11.25" customHeight="1">
      <c r="A67" s="52" t="s">
        <v>189</v>
      </c>
      <c r="B67" s="53"/>
      <c r="C67" s="19">
        <f t="shared" si="0"/>
        <v>2015</v>
      </c>
      <c r="D67" s="35">
        <v>0</v>
      </c>
      <c r="E67" s="18">
        <f t="shared" si="1"/>
        <v>43827.479999999996</v>
      </c>
      <c r="F67" s="18">
        <f t="shared" si="2"/>
        <v>0</v>
      </c>
    </row>
    <row r="68" spans="1:6" s="2" customFormat="1" ht="11.25" customHeight="1">
      <c r="A68" s="52" t="s">
        <v>189</v>
      </c>
      <c r="B68" s="53"/>
      <c r="C68" s="19">
        <f t="shared" si="0"/>
        <v>2016</v>
      </c>
      <c r="D68" s="35">
        <v>0</v>
      </c>
      <c r="E68" s="18">
        <f t="shared" si="1"/>
        <v>48697.2</v>
      </c>
      <c r="F68" s="18">
        <f t="shared" si="2"/>
        <v>0</v>
      </c>
    </row>
    <row r="69" spans="1:6" s="2" customFormat="1" ht="11.25" customHeight="1">
      <c r="A69" s="52" t="s">
        <v>189</v>
      </c>
      <c r="B69" s="53"/>
      <c r="C69" s="19">
        <f t="shared" si="0"/>
        <v>2017</v>
      </c>
      <c r="D69" s="35">
        <v>0</v>
      </c>
      <c r="E69" s="18">
        <f t="shared" si="1"/>
        <v>54108</v>
      </c>
      <c r="F69" s="18">
        <f t="shared" si="2"/>
        <v>0</v>
      </c>
    </row>
    <row r="70" spans="1:6" s="2" customFormat="1" ht="11.25" customHeight="1">
      <c r="A70" s="52" t="s">
        <v>189</v>
      </c>
      <c r="B70" s="53"/>
      <c r="C70" s="19">
        <f>(C71-1)</f>
        <v>2018</v>
      </c>
      <c r="D70" s="35">
        <v>0</v>
      </c>
      <c r="E70" s="18">
        <f>(E71-(E71*0.1))</f>
        <v>60120</v>
      </c>
      <c r="F70" s="18">
        <f t="shared" si="2"/>
        <v>0</v>
      </c>
    </row>
    <row r="71" spans="1:6" s="2" customFormat="1" ht="11.25" customHeight="1">
      <c r="A71" s="52" t="s">
        <v>189</v>
      </c>
      <c r="B71" s="53"/>
      <c r="C71" s="19">
        <v>2019</v>
      </c>
      <c r="D71" s="35">
        <v>0</v>
      </c>
      <c r="E71" s="18">
        <v>66800</v>
      </c>
      <c r="F71" s="18">
        <f>D71*E71</f>
        <v>0</v>
      </c>
    </row>
    <row r="72" spans="1:6" s="2" customFormat="1" ht="11.25" customHeight="1">
      <c r="A72" s="17" t="s">
        <v>180</v>
      </c>
      <c r="B72" s="18"/>
      <c r="C72" s="20"/>
      <c r="D72" s="21">
        <f>SUM(D56:D71)</f>
        <v>1</v>
      </c>
      <c r="E72" s="18"/>
      <c r="F72" s="22">
        <f>SUM(F56:F71)</f>
        <v>35500.258799999996</v>
      </c>
    </row>
    <row r="73" spans="1:6" s="2" customFormat="1" ht="11.25" customHeight="1">
      <c r="A73" s="17" t="s">
        <v>181</v>
      </c>
      <c r="B73" s="17"/>
      <c r="C73" s="17"/>
      <c r="D73" s="17"/>
      <c r="E73" s="17"/>
      <c r="F73" s="23">
        <f>F72/D72</f>
        <v>35500.258799999996</v>
      </c>
    </row>
    <row r="74" spans="1:6" s="2" customFormat="1" ht="11.25" customHeight="1">
      <c r="A74" s="17"/>
      <c r="B74" s="17"/>
      <c r="C74" s="17"/>
      <c r="D74" s="17"/>
      <c r="E74" s="17"/>
      <c r="F74" s="23"/>
    </row>
    <row r="75" spans="1:6" ht="11.25" customHeight="1">
      <c r="A75" s="5" t="s">
        <v>31</v>
      </c>
      <c r="B75" s="6"/>
      <c r="C75" s="6" t="s">
        <v>179</v>
      </c>
      <c r="D75" s="6"/>
      <c r="E75" s="6"/>
      <c r="F75" s="6" t="s">
        <v>32</v>
      </c>
    </row>
    <row r="76" spans="1:6" ht="11.25" customHeight="1">
      <c r="A76" s="4" t="s">
        <v>33</v>
      </c>
      <c r="B76" s="4"/>
      <c r="C76" s="4">
        <f>F72</f>
        <v>35500.258799999996</v>
      </c>
      <c r="D76" s="4"/>
      <c r="E76" s="4"/>
      <c r="F76" s="4">
        <f>SUM(C76:E76)</f>
        <v>35500.258799999996</v>
      </c>
    </row>
    <row r="77" spans="1:6" ht="11.25" customHeight="1">
      <c r="A77" s="4" t="s">
        <v>34</v>
      </c>
      <c r="B77" s="4"/>
      <c r="C77" s="14">
        <f>SUM(C19)</f>
        <v>1</v>
      </c>
      <c r="D77" s="14"/>
      <c r="E77" s="14"/>
      <c r="F77" s="14">
        <f>SUM(C77:E77)</f>
        <v>1</v>
      </c>
    </row>
    <row r="78" spans="1:6" ht="11.25" customHeight="1">
      <c r="A78" s="4" t="s">
        <v>35</v>
      </c>
      <c r="B78" s="4"/>
      <c r="C78" s="4"/>
      <c r="D78" s="4"/>
      <c r="E78" s="4"/>
      <c r="F78" s="13">
        <f>F76/F77</f>
        <v>35500.258799999996</v>
      </c>
    </row>
    <row r="79" spans="1:6" ht="11.25" customHeight="1">
      <c r="A79" s="4"/>
      <c r="B79" s="4"/>
      <c r="C79" s="4"/>
      <c r="D79" s="4"/>
      <c r="E79" s="4"/>
      <c r="F79" s="4"/>
    </row>
    <row r="80" spans="1:6" ht="11.25" customHeight="1">
      <c r="A80" s="5" t="s">
        <v>145</v>
      </c>
      <c r="B80" s="6"/>
      <c r="C80" s="6"/>
      <c r="D80" s="6"/>
      <c r="E80" s="6"/>
      <c r="F80" s="6" t="s">
        <v>20</v>
      </c>
    </row>
    <row r="81" spans="1:6" ht="11.25" customHeight="1">
      <c r="A81" s="4" t="s">
        <v>35</v>
      </c>
      <c r="B81" s="4"/>
      <c r="C81" s="4"/>
      <c r="D81" s="4"/>
      <c r="E81" s="4"/>
      <c r="F81" s="4">
        <f>F78</f>
        <v>35500.258799999996</v>
      </c>
    </row>
    <row r="82" spans="1:6" ht="11.25" customHeight="1">
      <c r="A82" s="4" t="s">
        <v>22</v>
      </c>
      <c r="B82" s="4"/>
      <c r="C82" s="4"/>
      <c r="D82" s="4"/>
      <c r="E82" s="4"/>
      <c r="F82" s="4">
        <f>F40</f>
        <v>2100</v>
      </c>
    </row>
    <row r="83" spans="1:6" ht="11.25" customHeight="1">
      <c r="A83" s="4" t="s">
        <v>36</v>
      </c>
      <c r="B83" s="4"/>
      <c r="C83" s="4"/>
      <c r="D83" s="4"/>
      <c r="E83" s="4"/>
      <c r="F83" s="13">
        <f>F81-F82</f>
        <v>33400.258799999996</v>
      </c>
    </row>
    <row r="84" spans="1:6" ht="11.25" customHeight="1">
      <c r="A84" s="4"/>
      <c r="B84" s="4"/>
      <c r="C84" s="4"/>
      <c r="D84" s="4"/>
      <c r="E84" s="4"/>
      <c r="F84" s="4"/>
    </row>
    <row r="85" spans="1:6" ht="11.25" customHeight="1">
      <c r="A85" s="47" t="s">
        <v>37</v>
      </c>
      <c r="B85" s="47"/>
      <c r="C85" s="47"/>
      <c r="D85" s="47"/>
      <c r="E85" s="47"/>
      <c r="F85" s="47"/>
    </row>
    <row r="86" spans="1:6" ht="11.25" customHeight="1">
      <c r="A86" s="47"/>
      <c r="B86" s="47"/>
      <c r="C86" s="47"/>
      <c r="D86" s="47"/>
      <c r="E86" s="47"/>
      <c r="F86" s="47"/>
    </row>
    <row r="87" spans="1:6" ht="11.25" customHeight="1">
      <c r="A87" s="4"/>
      <c r="B87" s="4"/>
      <c r="C87" s="4"/>
      <c r="D87" s="4"/>
      <c r="E87" s="4"/>
      <c r="F87" s="4"/>
    </row>
    <row r="88" spans="1:6" ht="11.25" customHeight="1">
      <c r="A88" s="5" t="s">
        <v>38</v>
      </c>
      <c r="B88" s="6"/>
      <c r="C88" s="6"/>
      <c r="D88" s="6" t="s">
        <v>39</v>
      </c>
      <c r="E88" s="6" t="s">
        <v>40</v>
      </c>
      <c r="F88" s="6" t="s">
        <v>41</v>
      </c>
    </row>
    <row r="89" spans="1:6" ht="11.25" customHeight="1">
      <c r="A89" s="4" t="s">
        <v>146</v>
      </c>
      <c r="B89" s="4"/>
      <c r="C89" s="4"/>
      <c r="D89" s="4">
        <f>F83</f>
        <v>33400.258799999996</v>
      </c>
      <c r="E89" s="11">
        <v>0.005555555555555556</v>
      </c>
      <c r="F89" s="24">
        <f>D89*E89</f>
        <v>185.5569933333333</v>
      </c>
    </row>
    <row r="90" spans="1:6" ht="11.25" customHeight="1">
      <c r="A90" s="4" t="s">
        <v>42</v>
      </c>
      <c r="B90" s="4"/>
      <c r="C90" s="4"/>
      <c r="D90" s="4"/>
      <c r="E90" s="4"/>
      <c r="F90" s="14">
        <f>F77</f>
        <v>1</v>
      </c>
    </row>
    <row r="91" spans="1:6" ht="11.25" customHeight="1">
      <c r="A91" s="4" t="s">
        <v>43</v>
      </c>
      <c r="B91" s="4"/>
      <c r="C91" s="4"/>
      <c r="D91" s="4"/>
      <c r="E91" s="4"/>
      <c r="F91" s="13">
        <f>F89*F90</f>
        <v>185.5569933333333</v>
      </c>
    </row>
    <row r="92" spans="1:6" ht="11.25" customHeight="1">
      <c r="A92" s="4" t="s">
        <v>184</v>
      </c>
      <c r="B92" s="4"/>
      <c r="C92" s="4"/>
      <c r="D92" s="4"/>
      <c r="E92" s="4"/>
      <c r="F92" s="38">
        <v>3104</v>
      </c>
    </row>
    <row r="93" spans="1:6" ht="11.25" customHeight="1">
      <c r="A93" s="4" t="s">
        <v>45</v>
      </c>
      <c r="B93" s="4"/>
      <c r="C93" s="4"/>
      <c r="D93" s="4"/>
      <c r="E93" s="4"/>
      <c r="F93" s="12">
        <f>F91/F92</f>
        <v>0.059779959192439856</v>
      </c>
    </row>
    <row r="94" spans="1:6" ht="11.25" customHeight="1">
      <c r="A94" s="4"/>
      <c r="B94" s="4"/>
      <c r="C94" s="4"/>
      <c r="D94" s="4"/>
      <c r="E94" s="4"/>
      <c r="F94" s="4"/>
    </row>
    <row r="95" spans="1:6" ht="11.25" customHeight="1">
      <c r="A95" s="5" t="s">
        <v>46</v>
      </c>
      <c r="B95" s="6"/>
      <c r="C95" s="6"/>
      <c r="D95" s="6" t="s">
        <v>47</v>
      </c>
      <c r="E95" s="6" t="s">
        <v>29</v>
      </c>
      <c r="F95" s="6" t="s">
        <v>48</v>
      </c>
    </row>
    <row r="96" spans="1:6" ht="11.25" customHeight="1">
      <c r="A96" s="25" t="s">
        <v>182</v>
      </c>
      <c r="B96" s="25"/>
      <c r="C96" s="25"/>
      <c r="D96" s="25">
        <f>(F73*0.3)</f>
        <v>10650.077639999998</v>
      </c>
      <c r="E96" s="26">
        <f>C77</f>
        <v>1</v>
      </c>
      <c r="F96" s="25">
        <f>D96*E96</f>
        <v>10650.077639999998</v>
      </c>
    </row>
    <row r="97" spans="1:6" ht="11.25" customHeight="1">
      <c r="A97" s="4" t="s">
        <v>49</v>
      </c>
      <c r="B97" s="4"/>
      <c r="C97" s="4"/>
      <c r="D97" s="4"/>
      <c r="E97" s="10">
        <f>SUM(E96:E96)</f>
        <v>1</v>
      </c>
      <c r="F97" s="13">
        <f>SUM(F96)</f>
        <v>10650.077639999998</v>
      </c>
    </row>
    <row r="98" spans="1:6" ht="11.25" customHeight="1">
      <c r="A98" s="17" t="s">
        <v>50</v>
      </c>
      <c r="B98" s="17"/>
      <c r="C98" s="17"/>
      <c r="D98" s="17"/>
      <c r="E98" s="17"/>
      <c r="F98" s="15">
        <f>F92</f>
        <v>3104</v>
      </c>
    </row>
    <row r="99" spans="1:6" ht="11.25" customHeight="1">
      <c r="A99" s="4" t="s">
        <v>186</v>
      </c>
      <c r="B99" s="4"/>
      <c r="C99" s="4"/>
      <c r="D99" s="4"/>
      <c r="E99" s="4"/>
      <c r="F99" s="4">
        <f>F98*12</f>
        <v>37248</v>
      </c>
    </row>
    <row r="100" spans="1:6" ht="11.25" customHeight="1">
      <c r="A100" s="4" t="s">
        <v>51</v>
      </c>
      <c r="B100" s="4"/>
      <c r="C100" s="4"/>
      <c r="D100" s="4"/>
      <c r="E100" s="4"/>
      <c r="F100" s="12">
        <f>F97/F99</f>
        <v>0.28592347615979374</v>
      </c>
    </row>
    <row r="101" spans="1:6" ht="11.25" customHeight="1">
      <c r="A101" s="4"/>
      <c r="B101" s="4"/>
      <c r="C101" s="4"/>
      <c r="D101" s="4"/>
      <c r="E101" s="4"/>
      <c r="F101" s="4"/>
    </row>
    <row r="102" spans="1:6" ht="11.25" customHeight="1">
      <c r="A102" s="5" t="s">
        <v>147</v>
      </c>
      <c r="B102" s="6"/>
      <c r="C102" s="6"/>
      <c r="D102" s="6"/>
      <c r="E102" s="6"/>
      <c r="F102" s="6"/>
    </row>
    <row r="103" spans="1:6" ht="11.25" customHeight="1">
      <c r="A103" s="4" t="s">
        <v>45</v>
      </c>
      <c r="B103" s="4"/>
      <c r="C103" s="4"/>
      <c r="D103" s="4"/>
      <c r="E103" s="4"/>
      <c r="F103" s="11">
        <f>F93</f>
        <v>0.059779959192439856</v>
      </c>
    </row>
    <row r="104" spans="1:6" ht="11.25" customHeight="1">
      <c r="A104" s="4" t="s">
        <v>51</v>
      </c>
      <c r="B104" s="4"/>
      <c r="C104" s="4"/>
      <c r="D104" s="4"/>
      <c r="E104" s="4"/>
      <c r="F104" s="11">
        <f>F100</f>
        <v>0.28592347615979374</v>
      </c>
    </row>
    <row r="105" spans="1:6" ht="11.25" customHeight="1">
      <c r="A105" s="4" t="s">
        <v>148</v>
      </c>
      <c r="B105" s="4"/>
      <c r="C105" s="4"/>
      <c r="D105" s="4"/>
      <c r="E105" s="4"/>
      <c r="F105" s="12">
        <f>F103-F104</f>
        <v>-0.22614351696735388</v>
      </c>
    </row>
    <row r="106" spans="1:6" ht="11.25" customHeight="1">
      <c r="A106" s="4"/>
      <c r="B106" s="4"/>
      <c r="C106" s="4"/>
      <c r="D106" s="4"/>
      <c r="E106" s="4"/>
      <c r="F106" s="4"/>
    </row>
    <row r="107" spans="1:6" ht="11.25" customHeight="1">
      <c r="A107" s="5" t="s">
        <v>140</v>
      </c>
      <c r="B107" s="6"/>
      <c r="C107" s="6"/>
      <c r="D107" s="6" t="s">
        <v>39</v>
      </c>
      <c r="E107" s="6" t="s">
        <v>40</v>
      </c>
      <c r="F107" s="6" t="s">
        <v>41</v>
      </c>
    </row>
    <row r="108" spans="1:6" ht="11.25" customHeight="1">
      <c r="A108" s="4" t="s">
        <v>171</v>
      </c>
      <c r="B108" s="17"/>
      <c r="C108" s="17"/>
      <c r="D108" s="4">
        <f>F78</f>
        <v>35500.258799999996</v>
      </c>
      <c r="E108" s="11">
        <v>0.0006666666666666666</v>
      </c>
      <c r="F108" s="24">
        <f>D108*E108</f>
        <v>23.6668392</v>
      </c>
    </row>
    <row r="109" spans="1:6" ht="11.25" customHeight="1">
      <c r="A109" s="17" t="s">
        <v>44</v>
      </c>
      <c r="B109" s="17"/>
      <c r="C109" s="17"/>
      <c r="D109" s="17"/>
      <c r="E109" s="17"/>
      <c r="F109" s="15">
        <f>F92</f>
        <v>3104</v>
      </c>
    </row>
    <row r="110" spans="1:6" ht="11.25" customHeight="1">
      <c r="A110" s="4" t="s">
        <v>150</v>
      </c>
      <c r="B110" s="17"/>
      <c r="C110" s="17"/>
      <c r="D110" s="17"/>
      <c r="E110" s="17"/>
      <c r="F110" s="12">
        <f>F108/F109</f>
        <v>0.007624626030927835</v>
      </c>
    </row>
    <row r="111" spans="1:6" ht="11.25" customHeight="1">
      <c r="A111" s="4"/>
      <c r="B111" s="4"/>
      <c r="C111" s="4"/>
      <c r="D111" s="4"/>
      <c r="E111" s="4"/>
      <c r="F111" s="4"/>
    </row>
    <row r="112" spans="1:6" ht="11.25" customHeight="1">
      <c r="A112" s="5" t="s">
        <v>52</v>
      </c>
      <c r="B112" s="6"/>
      <c r="C112" s="6"/>
      <c r="D112" s="6" t="s">
        <v>39</v>
      </c>
      <c r="E112" s="6" t="s">
        <v>152</v>
      </c>
      <c r="F112" s="6" t="s">
        <v>53</v>
      </c>
    </row>
    <row r="113" spans="1:6" ht="11.25" customHeight="1">
      <c r="A113" s="4" t="s">
        <v>172</v>
      </c>
      <c r="B113" s="17"/>
      <c r="C113" s="17"/>
      <c r="D113" s="4">
        <f>F78</f>
        <v>35500.258799999996</v>
      </c>
      <c r="E113" s="11">
        <v>0.0008333333333333334</v>
      </c>
      <c r="F113" s="24">
        <f>(D113*E113)</f>
        <v>29.583548999999998</v>
      </c>
    </row>
    <row r="114" spans="1:6" ht="11.25" customHeight="1">
      <c r="A114" s="17" t="s">
        <v>44</v>
      </c>
      <c r="B114" s="17"/>
      <c r="C114" s="17"/>
      <c r="D114" s="17"/>
      <c r="E114" s="17"/>
      <c r="F114" s="15">
        <f>F92</f>
        <v>3104</v>
      </c>
    </row>
    <row r="115" spans="1:6" ht="11.25" customHeight="1">
      <c r="A115" s="4" t="s">
        <v>54</v>
      </c>
      <c r="B115" s="17"/>
      <c r="C115" s="17"/>
      <c r="D115" s="17"/>
      <c r="E115" s="17"/>
      <c r="F115" s="12">
        <f>F113/F114</f>
        <v>0.009530782538659794</v>
      </c>
    </row>
    <row r="116" spans="1:6" ht="11.25" customHeight="1">
      <c r="A116" s="4"/>
      <c r="B116" s="4"/>
      <c r="C116" s="4"/>
      <c r="D116" s="4"/>
      <c r="E116" s="4"/>
      <c r="F116" s="4"/>
    </row>
    <row r="117" spans="1:6" ht="11.25" customHeight="1">
      <c r="A117" s="5" t="s">
        <v>55</v>
      </c>
      <c r="B117" s="6"/>
      <c r="C117" s="6"/>
      <c r="D117" s="6"/>
      <c r="E117" s="6"/>
      <c r="F117" s="6"/>
    </row>
    <row r="118" spans="1:6" ht="11.25" customHeight="1">
      <c r="A118" s="4" t="s">
        <v>151</v>
      </c>
      <c r="B118" s="17"/>
      <c r="C118" s="17"/>
      <c r="D118" s="17"/>
      <c r="E118" s="17"/>
      <c r="F118" s="24">
        <f>F91</f>
        <v>185.5569933333333</v>
      </c>
    </row>
    <row r="119" spans="1:6" ht="11.25" customHeight="1">
      <c r="A119" s="4" t="s">
        <v>56</v>
      </c>
      <c r="B119" s="17"/>
      <c r="C119" s="17"/>
      <c r="D119" s="17"/>
      <c r="E119" s="17"/>
      <c r="F119" s="24">
        <f>F108</f>
        <v>23.6668392</v>
      </c>
    </row>
    <row r="120" spans="1:6" ht="11.25" customHeight="1">
      <c r="A120" s="4" t="s">
        <v>57</v>
      </c>
      <c r="B120" s="17"/>
      <c r="C120" s="17"/>
      <c r="D120" s="17"/>
      <c r="E120" s="17"/>
      <c r="F120" s="24">
        <f>F113</f>
        <v>29.583548999999998</v>
      </c>
    </row>
    <row r="121" spans="1:6" ht="11.25" customHeight="1">
      <c r="A121" s="4" t="s">
        <v>58</v>
      </c>
      <c r="B121" s="17"/>
      <c r="C121" s="17"/>
      <c r="D121" s="17"/>
      <c r="E121" s="17"/>
      <c r="F121" s="27">
        <f>SUM(F118:F120)</f>
        <v>238.8073815333333</v>
      </c>
    </row>
    <row r="122" spans="1:6" ht="11.25" customHeight="1">
      <c r="A122" s="4" t="s">
        <v>44</v>
      </c>
      <c r="B122" s="17"/>
      <c r="C122" s="17"/>
      <c r="D122" s="17"/>
      <c r="E122" s="17"/>
      <c r="F122" s="15">
        <f>F92</f>
        <v>3104</v>
      </c>
    </row>
    <row r="123" spans="1:6" ht="11.25" customHeight="1">
      <c r="A123" s="4" t="s">
        <v>59</v>
      </c>
      <c r="B123" s="17"/>
      <c r="C123" s="17"/>
      <c r="D123" s="17"/>
      <c r="E123" s="17"/>
      <c r="F123" s="11">
        <f>(F121/F122)</f>
        <v>0.07693536776202749</v>
      </c>
    </row>
    <row r="124" spans="1:6" ht="11.25" customHeight="1">
      <c r="A124" s="4" t="s">
        <v>51</v>
      </c>
      <c r="B124" s="17"/>
      <c r="C124" s="17"/>
      <c r="D124" s="17"/>
      <c r="E124" s="17"/>
      <c r="F124" s="11">
        <f>F100</f>
        <v>0.28592347615979374</v>
      </c>
    </row>
    <row r="125" spans="1:6" ht="11.25" customHeight="1">
      <c r="A125" s="4" t="s">
        <v>60</v>
      </c>
      <c r="B125" s="17"/>
      <c r="C125" s="17"/>
      <c r="D125" s="17"/>
      <c r="E125" s="17"/>
      <c r="F125" s="12">
        <f>F123+F124</f>
        <v>0.3628588439218212</v>
      </c>
    </row>
    <row r="126" spans="1:6" ht="11.25" customHeight="1">
      <c r="A126" s="4"/>
      <c r="B126" s="17"/>
      <c r="C126" s="17"/>
      <c r="D126" s="17"/>
      <c r="E126" s="17"/>
      <c r="F126" s="11"/>
    </row>
    <row r="127" spans="1:6" ht="11.25" customHeight="1">
      <c r="A127" s="47" t="s">
        <v>61</v>
      </c>
      <c r="B127" s="47"/>
      <c r="C127" s="47"/>
      <c r="D127" s="47"/>
      <c r="E127" s="47"/>
      <c r="F127" s="47"/>
    </row>
    <row r="128" spans="1:6" ht="11.25" customHeight="1">
      <c r="A128" s="47"/>
      <c r="B128" s="47"/>
      <c r="C128" s="47"/>
      <c r="D128" s="47"/>
      <c r="E128" s="47"/>
      <c r="F128" s="47"/>
    </row>
    <row r="129" spans="1:6" ht="11.25" customHeight="1">
      <c r="A129" s="17"/>
      <c r="B129" s="17"/>
      <c r="C129" s="17"/>
      <c r="D129" s="17"/>
      <c r="E129" s="17"/>
      <c r="F129" s="17"/>
    </row>
    <row r="130" spans="1:6" ht="11.25" customHeight="1">
      <c r="A130" s="5" t="s">
        <v>61</v>
      </c>
      <c r="B130" s="6"/>
      <c r="C130" s="6"/>
      <c r="D130" s="6" t="s">
        <v>39</v>
      </c>
      <c r="E130" s="6" t="s">
        <v>152</v>
      </c>
      <c r="F130" s="6" t="s">
        <v>53</v>
      </c>
    </row>
    <row r="131" spans="1:6" ht="11.25" customHeight="1">
      <c r="A131" s="4" t="s">
        <v>172</v>
      </c>
      <c r="B131" s="17"/>
      <c r="C131" s="17"/>
      <c r="D131" s="4">
        <f>F78*1</f>
        <v>35500.258799999996</v>
      </c>
      <c r="E131" s="11">
        <v>0.002777777777777778</v>
      </c>
      <c r="F131" s="24">
        <f>(D131*E131)</f>
        <v>98.61183</v>
      </c>
    </row>
    <row r="132" spans="1:6" ht="11.25" customHeight="1">
      <c r="A132" s="4" t="s">
        <v>44</v>
      </c>
      <c r="B132" s="17"/>
      <c r="C132" s="17"/>
      <c r="D132" s="17"/>
      <c r="E132" s="17"/>
      <c r="F132" s="15">
        <f>F109</f>
        <v>3104</v>
      </c>
    </row>
    <row r="133" spans="1:6" ht="11.25" customHeight="1">
      <c r="A133" s="4" t="s">
        <v>62</v>
      </c>
      <c r="B133" s="4"/>
      <c r="C133" s="4"/>
      <c r="D133" s="4"/>
      <c r="E133" s="4"/>
      <c r="F133" s="12">
        <f>(F131/F132)</f>
        <v>0.03176927512886598</v>
      </c>
    </row>
    <row r="134" spans="1:6" ht="11.25" customHeight="1">
      <c r="A134" s="4"/>
      <c r="B134" s="4"/>
      <c r="C134" s="4"/>
      <c r="D134" s="4"/>
      <c r="E134" s="4"/>
      <c r="F134" s="4"/>
    </row>
    <row r="135" spans="1:6" ht="11.25" customHeight="1">
      <c r="A135" s="47" t="s">
        <v>63</v>
      </c>
      <c r="B135" s="47"/>
      <c r="C135" s="47"/>
      <c r="D135" s="47"/>
      <c r="E135" s="47"/>
      <c r="F135" s="47"/>
    </row>
    <row r="136" spans="1:6" ht="11.25" customHeight="1">
      <c r="A136" s="47"/>
      <c r="B136" s="47"/>
      <c r="C136" s="47"/>
      <c r="D136" s="47"/>
      <c r="E136" s="47"/>
      <c r="F136" s="47"/>
    </row>
    <row r="137" spans="1:6" ht="11.25" customHeight="1">
      <c r="A137" s="4"/>
      <c r="B137" s="4"/>
      <c r="C137" s="4"/>
      <c r="D137" s="4"/>
      <c r="E137" s="4"/>
      <c r="F137" s="4"/>
    </row>
    <row r="138" spans="1:6" ht="11.25" customHeight="1">
      <c r="A138" s="5" t="s">
        <v>64</v>
      </c>
      <c r="B138" s="6"/>
      <c r="C138" s="6"/>
      <c r="D138" s="6"/>
      <c r="E138" s="6"/>
      <c r="F138" s="6"/>
    </row>
    <row r="139" spans="1:6" ht="11.25" customHeight="1">
      <c r="A139" s="6" t="s">
        <v>8</v>
      </c>
      <c r="B139" s="6" t="s">
        <v>153</v>
      </c>
      <c r="C139" s="6" t="s">
        <v>65</v>
      </c>
      <c r="D139" s="6" t="s">
        <v>66</v>
      </c>
      <c r="E139" s="6" t="s">
        <v>67</v>
      </c>
      <c r="F139" s="6" t="s">
        <v>68</v>
      </c>
    </row>
    <row r="140" spans="1:6" ht="11.25" customHeight="1">
      <c r="A140" s="18" t="s">
        <v>69</v>
      </c>
      <c r="B140" s="20">
        <v>1</v>
      </c>
      <c r="C140" s="36">
        <v>1920</v>
      </c>
      <c r="D140" s="28">
        <v>1.6757</v>
      </c>
      <c r="E140" s="28">
        <v>1</v>
      </c>
      <c r="F140" s="4">
        <f>B140*C140*D140*E140</f>
        <v>3217.344</v>
      </c>
    </row>
    <row r="141" spans="1:6" ht="11.25" customHeight="1">
      <c r="A141" s="4" t="s">
        <v>70</v>
      </c>
      <c r="B141" s="4"/>
      <c r="C141" s="4"/>
      <c r="D141" s="4"/>
      <c r="E141" s="4"/>
      <c r="F141" s="13">
        <f>SUM(F140:F140)</f>
        <v>3217.344</v>
      </c>
    </row>
    <row r="142" spans="1:6" ht="11.25" customHeight="1">
      <c r="A142" s="4" t="s">
        <v>44</v>
      </c>
      <c r="B142" s="4"/>
      <c r="C142" s="4"/>
      <c r="D142" s="4"/>
      <c r="E142" s="4"/>
      <c r="F142" s="14">
        <f>F92</f>
        <v>3104</v>
      </c>
    </row>
    <row r="143" spans="1:6" ht="11.25" customHeight="1">
      <c r="A143" s="4" t="s">
        <v>71</v>
      </c>
      <c r="B143" s="4"/>
      <c r="C143" s="4"/>
      <c r="D143" s="4"/>
      <c r="E143" s="4"/>
      <c r="F143" s="12">
        <f>F141/F142</f>
        <v>1.0365154639175258</v>
      </c>
    </row>
    <row r="144" spans="1:6" ht="11.25" customHeight="1">
      <c r="A144" s="4"/>
      <c r="B144" s="4"/>
      <c r="C144" s="4"/>
      <c r="D144" s="4"/>
      <c r="E144" s="4"/>
      <c r="F144" s="4"/>
    </row>
    <row r="145" spans="1:6" ht="11.25" customHeight="1">
      <c r="A145" s="5" t="s">
        <v>156</v>
      </c>
      <c r="B145" s="6"/>
      <c r="C145" s="6"/>
      <c r="D145" s="6" t="s">
        <v>73</v>
      </c>
      <c r="E145" s="6" t="s">
        <v>154</v>
      </c>
      <c r="F145" s="6" t="s">
        <v>68</v>
      </c>
    </row>
    <row r="146" spans="1:6" ht="11.25" customHeight="1">
      <c r="A146" s="17" t="s">
        <v>164</v>
      </c>
      <c r="B146" s="17"/>
      <c r="C146" s="17"/>
      <c r="D146" s="17">
        <f>F141</f>
        <v>3217.344</v>
      </c>
      <c r="E146" s="31">
        <v>0.1</v>
      </c>
      <c r="F146" s="17">
        <f>D146*E146</f>
        <v>321.73440000000005</v>
      </c>
    </row>
    <row r="147" spans="1:6" ht="11.25" customHeight="1">
      <c r="A147" s="4" t="s">
        <v>44</v>
      </c>
      <c r="B147" s="4"/>
      <c r="C147" s="4"/>
      <c r="D147" s="4"/>
      <c r="E147" s="4"/>
      <c r="F147" s="14">
        <f>F92</f>
        <v>3104</v>
      </c>
    </row>
    <row r="148" spans="1:6" ht="11.25" customHeight="1">
      <c r="A148" s="4" t="s">
        <v>157</v>
      </c>
      <c r="B148" s="4"/>
      <c r="C148" s="4"/>
      <c r="D148" s="4"/>
      <c r="E148" s="4"/>
      <c r="F148" s="12">
        <f>F146/F147</f>
        <v>0.1036515463917526</v>
      </c>
    </row>
    <row r="149" spans="1:6" ht="11.25" customHeight="1">
      <c r="A149" s="4"/>
      <c r="B149" s="4"/>
      <c r="C149" s="4"/>
      <c r="D149" s="4"/>
      <c r="E149" s="4"/>
      <c r="F149" s="4"/>
    </row>
    <row r="150" spans="1:6" ht="11.25" customHeight="1">
      <c r="A150" s="5" t="s">
        <v>74</v>
      </c>
      <c r="B150" s="6"/>
      <c r="C150" s="6"/>
      <c r="D150" s="6"/>
      <c r="E150" s="6"/>
      <c r="F150" s="6"/>
    </row>
    <row r="151" spans="1:6" ht="11.25" customHeight="1">
      <c r="A151" s="4" t="s">
        <v>64</v>
      </c>
      <c r="B151" s="4"/>
      <c r="C151" s="4"/>
      <c r="D151" s="4"/>
      <c r="E151" s="4"/>
      <c r="F151" s="4">
        <f>F141</f>
        <v>3217.344</v>
      </c>
    </row>
    <row r="152" spans="1:6" ht="11.25" customHeight="1">
      <c r="A152" s="4" t="s">
        <v>72</v>
      </c>
      <c r="B152" s="4"/>
      <c r="C152" s="4"/>
      <c r="D152" s="4"/>
      <c r="E152" s="4"/>
      <c r="F152" s="4">
        <f>F146</f>
        <v>321.73440000000005</v>
      </c>
    </row>
    <row r="153" spans="1:6" ht="11.25" customHeight="1">
      <c r="A153" s="4" t="s">
        <v>75</v>
      </c>
      <c r="B153" s="4"/>
      <c r="C153" s="4"/>
      <c r="D153" s="4"/>
      <c r="E153" s="4"/>
      <c r="F153" s="13">
        <f>SUM(F151:F152)</f>
        <v>3539.0784000000003</v>
      </c>
    </row>
    <row r="154" spans="1:6" ht="11.25" customHeight="1">
      <c r="A154" s="17" t="s">
        <v>44</v>
      </c>
      <c r="B154" s="17"/>
      <c r="C154" s="17"/>
      <c r="D154" s="17"/>
      <c r="E154" s="17"/>
      <c r="F154" s="15">
        <f>F92</f>
        <v>3104</v>
      </c>
    </row>
    <row r="155" spans="1:6" ht="11.25" customHeight="1">
      <c r="A155" s="4" t="s">
        <v>76</v>
      </c>
      <c r="B155" s="4"/>
      <c r="C155" s="4"/>
      <c r="D155" s="4"/>
      <c r="E155" s="4"/>
      <c r="F155" s="12">
        <f>F153/F154</f>
        <v>1.1401670103092785</v>
      </c>
    </row>
    <row r="156" spans="1:6" ht="11.25" customHeight="1">
      <c r="A156" s="4"/>
      <c r="B156" s="4"/>
      <c r="C156" s="4"/>
      <c r="D156" s="4"/>
      <c r="E156" s="4"/>
      <c r="F156" s="4"/>
    </row>
    <row r="157" spans="1:6" ht="11.25" customHeight="1">
      <c r="A157" s="47" t="s">
        <v>77</v>
      </c>
      <c r="B157" s="47"/>
      <c r="C157" s="47"/>
      <c r="D157" s="47"/>
      <c r="E157" s="47"/>
      <c r="F157" s="47"/>
    </row>
    <row r="158" spans="1:6" ht="11.25" customHeight="1">
      <c r="A158" s="47"/>
      <c r="B158" s="47"/>
      <c r="C158" s="47"/>
      <c r="D158" s="47"/>
      <c r="E158" s="47"/>
      <c r="F158" s="47"/>
    </row>
    <row r="159" spans="1:6" ht="11.25" customHeight="1">
      <c r="A159" s="4"/>
      <c r="B159" s="4"/>
      <c r="C159" s="4"/>
      <c r="D159" s="4"/>
      <c r="E159" s="4"/>
      <c r="F159" s="4"/>
    </row>
    <row r="160" spans="1:6" ht="11.25" customHeight="1">
      <c r="A160" s="5" t="s">
        <v>78</v>
      </c>
      <c r="B160" s="6"/>
      <c r="C160" s="6"/>
      <c r="D160" s="6" t="s">
        <v>79</v>
      </c>
      <c r="E160" s="6" t="s">
        <v>154</v>
      </c>
      <c r="F160" s="6" t="s">
        <v>80</v>
      </c>
    </row>
    <row r="161" spans="1:6" s="3" customFormat="1" ht="11.25" customHeight="1">
      <c r="A161" s="17" t="s">
        <v>165</v>
      </c>
      <c r="B161" s="17"/>
      <c r="C161" s="17"/>
      <c r="D161" s="17">
        <f>F141</f>
        <v>3217.344</v>
      </c>
      <c r="E161" s="32">
        <v>0.1</v>
      </c>
      <c r="F161" s="17">
        <f>D161*E161</f>
        <v>321.73440000000005</v>
      </c>
    </row>
    <row r="162" spans="1:6" ht="11.25" customHeight="1">
      <c r="A162" s="4" t="s">
        <v>21</v>
      </c>
      <c r="B162" s="4"/>
      <c r="C162" s="4"/>
      <c r="D162" s="4"/>
      <c r="E162" s="4"/>
      <c r="F162" s="15">
        <f>C19</f>
        <v>1</v>
      </c>
    </row>
    <row r="163" spans="1:6" ht="11.25" customHeight="1">
      <c r="A163" s="4" t="s">
        <v>155</v>
      </c>
      <c r="B163" s="4"/>
      <c r="C163" s="4"/>
      <c r="D163" s="4"/>
      <c r="E163" s="4"/>
      <c r="F163" s="4">
        <f>F161/F162</f>
        <v>321.73440000000005</v>
      </c>
    </row>
    <row r="164" spans="1:6" ht="11.25" customHeight="1">
      <c r="A164" s="17" t="s">
        <v>44</v>
      </c>
      <c r="B164" s="17"/>
      <c r="C164" s="17"/>
      <c r="D164" s="17"/>
      <c r="E164" s="17"/>
      <c r="F164" s="15">
        <f>F92</f>
        <v>3104</v>
      </c>
    </row>
    <row r="165" spans="1:6" ht="11.25" customHeight="1">
      <c r="A165" s="4" t="s">
        <v>82</v>
      </c>
      <c r="B165" s="4"/>
      <c r="C165" s="4"/>
      <c r="D165" s="4"/>
      <c r="E165" s="4"/>
      <c r="F165" s="12">
        <f>F163/F164</f>
        <v>0.1036515463917526</v>
      </c>
    </row>
    <row r="166" spans="1:6" ht="11.25" customHeight="1">
      <c r="A166" s="4"/>
      <c r="B166" s="4"/>
      <c r="C166" s="4"/>
      <c r="D166" s="4"/>
      <c r="E166" s="4"/>
      <c r="F166" s="4"/>
    </row>
    <row r="167" spans="1:6" ht="11.25" customHeight="1">
      <c r="A167" s="5" t="s">
        <v>83</v>
      </c>
      <c r="B167" s="6"/>
      <c r="C167" s="6"/>
      <c r="D167" s="6" t="s">
        <v>79</v>
      </c>
      <c r="E167" s="6" t="s">
        <v>154</v>
      </c>
      <c r="F167" s="6" t="s">
        <v>80</v>
      </c>
    </row>
    <row r="168" spans="1:6" s="2" customFormat="1" ht="11.25" customHeight="1">
      <c r="A168" s="4" t="s">
        <v>166</v>
      </c>
      <c r="B168" s="4"/>
      <c r="C168" s="4"/>
      <c r="D168" s="17">
        <f>F161</f>
        <v>321.73440000000005</v>
      </c>
      <c r="E168" s="32">
        <v>0.3</v>
      </c>
      <c r="F168" s="4">
        <f>(D168*E168)</f>
        <v>96.52032000000001</v>
      </c>
    </row>
    <row r="169" spans="1:6" ht="11.25" customHeight="1">
      <c r="A169" s="4" t="s">
        <v>21</v>
      </c>
      <c r="B169" s="4"/>
      <c r="C169" s="4"/>
      <c r="D169" s="4"/>
      <c r="E169" s="4"/>
      <c r="F169" s="15">
        <f>F162</f>
        <v>1</v>
      </c>
    </row>
    <row r="170" spans="1:6" ht="11.25" customHeight="1">
      <c r="A170" s="4" t="s">
        <v>81</v>
      </c>
      <c r="B170" s="4"/>
      <c r="C170" s="4"/>
      <c r="D170" s="4"/>
      <c r="E170" s="4"/>
      <c r="F170" s="13">
        <f>F168/F169</f>
        <v>96.52032000000001</v>
      </c>
    </row>
    <row r="171" spans="1:6" ht="11.25" customHeight="1">
      <c r="A171" s="17" t="s">
        <v>44</v>
      </c>
      <c r="B171" s="17"/>
      <c r="C171" s="17"/>
      <c r="D171" s="17"/>
      <c r="E171" s="17"/>
      <c r="F171" s="15">
        <f>F92</f>
        <v>3104</v>
      </c>
    </row>
    <row r="172" spans="1:6" ht="11.25" customHeight="1">
      <c r="A172" s="4" t="s">
        <v>82</v>
      </c>
      <c r="B172" s="4"/>
      <c r="C172" s="4"/>
      <c r="D172" s="4"/>
      <c r="E172" s="4"/>
      <c r="F172" s="12">
        <f>F170/F171</f>
        <v>0.031095463917525778</v>
      </c>
    </row>
    <row r="173" spans="1:6" ht="11.25" customHeight="1">
      <c r="A173" s="4"/>
      <c r="B173" s="4"/>
      <c r="C173" s="4"/>
      <c r="D173" s="4"/>
      <c r="E173" s="4"/>
      <c r="F173" s="4"/>
    </row>
    <row r="174" spans="1:6" ht="11.25" customHeight="1">
      <c r="A174" s="5" t="s">
        <v>84</v>
      </c>
      <c r="B174" s="6"/>
      <c r="C174" s="6"/>
      <c r="D174" s="6"/>
      <c r="E174" s="6"/>
      <c r="F174" s="6" t="s">
        <v>80</v>
      </c>
    </row>
    <row r="175" spans="1:6" ht="11.25" customHeight="1">
      <c r="A175" s="17" t="s">
        <v>158</v>
      </c>
      <c r="B175" s="17"/>
      <c r="C175" s="17"/>
      <c r="D175" s="17"/>
      <c r="E175" s="17"/>
      <c r="F175" s="17">
        <v>413.69</v>
      </c>
    </row>
    <row r="176" spans="1:6" ht="11.25" customHeight="1">
      <c r="A176" s="4" t="s">
        <v>21</v>
      </c>
      <c r="B176" s="4"/>
      <c r="C176" s="4"/>
      <c r="D176" s="4"/>
      <c r="E176" s="4"/>
      <c r="F176" s="15">
        <f>F162</f>
        <v>1</v>
      </c>
    </row>
    <row r="177" spans="1:6" ht="11.25" customHeight="1">
      <c r="A177" s="4" t="s">
        <v>81</v>
      </c>
      <c r="B177" s="4"/>
      <c r="C177" s="4"/>
      <c r="D177" s="4"/>
      <c r="E177" s="4"/>
      <c r="F177" s="13">
        <f>F175*F176</f>
        <v>413.69</v>
      </c>
    </row>
    <row r="178" spans="1:6" ht="11.25" customHeight="1">
      <c r="A178" s="17" t="s">
        <v>44</v>
      </c>
      <c r="B178" s="17"/>
      <c r="C178" s="17"/>
      <c r="D178" s="17"/>
      <c r="E178" s="17"/>
      <c r="F178" s="15">
        <f>F92</f>
        <v>3104</v>
      </c>
    </row>
    <row r="179" spans="1:6" ht="11.25" customHeight="1">
      <c r="A179" s="4" t="s">
        <v>86</v>
      </c>
      <c r="B179" s="4"/>
      <c r="C179" s="4"/>
      <c r="D179" s="4"/>
      <c r="E179" s="4"/>
      <c r="F179" s="12">
        <f>F177/F178</f>
        <v>0.13327641752577318</v>
      </c>
    </row>
    <row r="180" spans="1:6" ht="11.25" customHeight="1">
      <c r="A180" s="4"/>
      <c r="B180" s="4"/>
      <c r="C180" s="4"/>
      <c r="D180" s="4"/>
      <c r="E180" s="4"/>
      <c r="F180" s="4"/>
    </row>
    <row r="181" spans="1:6" ht="11.25" customHeight="1">
      <c r="A181" s="5" t="s">
        <v>139</v>
      </c>
      <c r="B181" s="6"/>
      <c r="C181" s="6"/>
      <c r="D181" s="6" t="s">
        <v>85</v>
      </c>
      <c r="E181" s="6" t="s">
        <v>87</v>
      </c>
      <c r="F181" s="6" t="s">
        <v>80</v>
      </c>
    </row>
    <row r="182" spans="1:6" ht="11.25" customHeight="1">
      <c r="A182" s="4" t="s">
        <v>159</v>
      </c>
      <c r="B182" s="4"/>
      <c r="C182" s="4"/>
      <c r="D182" s="37">
        <v>251.33</v>
      </c>
      <c r="E182" s="11">
        <f>1/12</f>
        <v>0.08333333333333333</v>
      </c>
      <c r="F182" s="4">
        <f>(D182*E182)</f>
        <v>20.944166666666668</v>
      </c>
    </row>
    <row r="183" spans="1:6" ht="11.25" customHeight="1">
      <c r="A183" s="4" t="s">
        <v>21</v>
      </c>
      <c r="B183" s="4"/>
      <c r="C183" s="4"/>
      <c r="D183" s="4"/>
      <c r="E183" s="11"/>
      <c r="F183" s="15">
        <f>F176</f>
        <v>1</v>
      </c>
    </row>
    <row r="184" spans="1:6" ht="11.25" customHeight="1">
      <c r="A184" s="4" t="s">
        <v>81</v>
      </c>
      <c r="B184" s="4"/>
      <c r="C184" s="4"/>
      <c r="D184" s="4"/>
      <c r="E184" s="11"/>
      <c r="F184" s="13">
        <f>F182*F183</f>
        <v>20.944166666666668</v>
      </c>
    </row>
    <row r="185" spans="1:6" ht="11.25" customHeight="1">
      <c r="A185" s="17" t="s">
        <v>44</v>
      </c>
      <c r="B185" s="17"/>
      <c r="C185" s="17"/>
      <c r="D185" s="17"/>
      <c r="E185" s="17"/>
      <c r="F185" s="15">
        <f>F92</f>
        <v>3104</v>
      </c>
    </row>
    <row r="186" spans="1:6" ht="11.25" customHeight="1">
      <c r="A186" s="4" t="s">
        <v>88</v>
      </c>
      <c r="B186" s="4"/>
      <c r="C186" s="4"/>
      <c r="D186" s="4"/>
      <c r="E186" s="4"/>
      <c r="F186" s="12">
        <f>F184/F185</f>
        <v>0.006747476374570447</v>
      </c>
    </row>
    <row r="187" spans="1:6" ht="16.5" customHeight="1">
      <c r="A187" s="5" t="s">
        <v>89</v>
      </c>
      <c r="B187" s="6"/>
      <c r="C187" s="44">
        <f>IF(F242&gt;0.25,"VALOR ELEVADO","")</f>
      </c>
      <c r="D187" s="6"/>
      <c r="E187" s="6"/>
      <c r="F187" s="6"/>
    </row>
    <row r="188" spans="1:6" ht="11.25" customHeight="1">
      <c r="A188" s="6"/>
      <c r="B188" s="6" t="s">
        <v>90</v>
      </c>
      <c r="C188" s="6" t="s">
        <v>91</v>
      </c>
      <c r="D188" s="6" t="s">
        <v>92</v>
      </c>
      <c r="E188" s="6" t="s">
        <v>93</v>
      </c>
      <c r="F188" s="6" t="s">
        <v>68</v>
      </c>
    </row>
    <row r="189" spans="1:6" s="2" customFormat="1" ht="11.25" customHeight="1">
      <c r="A189" s="18" t="s">
        <v>94</v>
      </c>
      <c r="B189" s="36">
        <v>2000</v>
      </c>
      <c r="C189" s="35">
        <v>1</v>
      </c>
      <c r="D189" s="18">
        <f>(B189*C189)</f>
        <v>2000</v>
      </c>
      <c r="E189" s="20">
        <v>1</v>
      </c>
      <c r="F189" s="23">
        <f>D189*E189</f>
        <v>2000</v>
      </c>
    </row>
    <row r="190" spans="1:6" ht="11.25" customHeight="1">
      <c r="A190" s="4"/>
      <c r="B190" s="4" t="s">
        <v>80</v>
      </c>
      <c r="C190" s="4" t="s">
        <v>160</v>
      </c>
      <c r="D190" s="4" t="s">
        <v>95</v>
      </c>
      <c r="E190" s="4" t="s">
        <v>96</v>
      </c>
      <c r="F190" s="4" t="s">
        <v>97</v>
      </c>
    </row>
    <row r="191" spans="1:6" ht="11.25" customHeight="1">
      <c r="A191" s="4" t="s">
        <v>94</v>
      </c>
      <c r="B191" s="4">
        <f>F189</f>
        <v>2000</v>
      </c>
      <c r="C191" s="43">
        <f>(B189*0.2)</f>
        <v>400</v>
      </c>
      <c r="D191" s="4">
        <f>F189+C191</f>
        <v>2400</v>
      </c>
      <c r="E191" s="14">
        <f>C19</f>
        <v>1</v>
      </c>
      <c r="F191" s="4">
        <f>D191/E191</f>
        <v>2400</v>
      </c>
    </row>
    <row r="192" spans="1:6" ht="11.25" customHeight="1">
      <c r="A192" s="4" t="s">
        <v>44</v>
      </c>
      <c r="B192" s="4"/>
      <c r="C192" s="4"/>
      <c r="D192" s="4"/>
      <c r="E192" s="4"/>
      <c r="F192" s="15">
        <f>F92</f>
        <v>3104</v>
      </c>
    </row>
    <row r="193" spans="1:6" ht="11.25" customHeight="1">
      <c r="A193" s="4" t="s">
        <v>98</v>
      </c>
      <c r="B193" s="4"/>
      <c r="C193" s="4"/>
      <c r="D193" s="4"/>
      <c r="E193" s="4"/>
      <c r="F193" s="12">
        <f>F191/F192</f>
        <v>0.7731958762886598</v>
      </c>
    </row>
    <row r="194" spans="1:6" ht="11.25" customHeight="1">
      <c r="A194" s="5" t="s">
        <v>162</v>
      </c>
      <c r="B194" s="6"/>
      <c r="C194" s="6"/>
      <c r="D194" s="6"/>
      <c r="E194" s="6"/>
      <c r="F194" s="6"/>
    </row>
    <row r="195" spans="1:6" ht="11.25" customHeight="1">
      <c r="A195" s="4" t="s">
        <v>78</v>
      </c>
      <c r="B195" s="4"/>
      <c r="C195" s="4"/>
      <c r="D195" s="4"/>
      <c r="E195" s="4"/>
      <c r="F195" s="4">
        <f>F163</f>
        <v>321.73440000000005</v>
      </c>
    </row>
    <row r="196" spans="1:6" ht="11.25" customHeight="1">
      <c r="A196" s="4" t="s">
        <v>83</v>
      </c>
      <c r="B196" s="4"/>
      <c r="C196" s="4"/>
      <c r="D196" s="4"/>
      <c r="E196" s="4"/>
      <c r="F196" s="4">
        <f>F170</f>
        <v>96.52032000000001</v>
      </c>
    </row>
    <row r="197" spans="1:6" ht="11.25" customHeight="1">
      <c r="A197" s="4" t="s">
        <v>84</v>
      </c>
      <c r="B197" s="4"/>
      <c r="C197" s="4"/>
      <c r="D197" s="4"/>
      <c r="E197" s="4"/>
      <c r="F197" s="4">
        <f>F175</f>
        <v>413.69</v>
      </c>
    </row>
    <row r="198" spans="1:6" ht="11.25" customHeight="1">
      <c r="A198" s="4" t="s">
        <v>139</v>
      </c>
      <c r="B198" s="4"/>
      <c r="C198" s="4"/>
      <c r="D198" s="4"/>
      <c r="E198" s="4"/>
      <c r="F198" s="4">
        <f>F182</f>
        <v>20.944166666666668</v>
      </c>
    </row>
    <row r="199" spans="1:6" ht="11.25" customHeight="1">
      <c r="A199" s="4" t="s">
        <v>89</v>
      </c>
      <c r="B199" s="4"/>
      <c r="C199" s="4"/>
      <c r="D199" s="4"/>
      <c r="E199" s="4"/>
      <c r="F199" s="4">
        <f>F191</f>
        <v>2400</v>
      </c>
    </row>
    <row r="200" spans="1:6" ht="11.25" customHeight="1">
      <c r="A200" s="4" t="s">
        <v>99</v>
      </c>
      <c r="B200" s="4"/>
      <c r="C200" s="4"/>
      <c r="D200" s="4"/>
      <c r="E200" s="4" t="s">
        <v>8</v>
      </c>
      <c r="F200" s="13">
        <f>SUM(F195:F199)</f>
        <v>3252.8888866666666</v>
      </c>
    </row>
    <row r="201" spans="1:6" ht="11.25" customHeight="1">
      <c r="A201" s="4" t="s">
        <v>161</v>
      </c>
      <c r="B201" s="4"/>
      <c r="C201" s="4"/>
      <c r="D201" s="4"/>
      <c r="E201" s="4"/>
      <c r="F201" s="15">
        <f>F92</f>
        <v>3104</v>
      </c>
    </row>
    <row r="202" spans="1:6" ht="11.25" customHeight="1">
      <c r="A202" s="4" t="s">
        <v>100</v>
      </c>
      <c r="B202" s="4"/>
      <c r="C202" s="4"/>
      <c r="D202" s="4"/>
      <c r="E202" s="4"/>
      <c r="F202" s="12">
        <f>F200/F201</f>
        <v>1.0479667804982817</v>
      </c>
    </row>
    <row r="203" spans="1:6" ht="11.25" customHeight="1">
      <c r="A203" s="5" t="s">
        <v>101</v>
      </c>
      <c r="B203" s="6"/>
      <c r="C203" s="6"/>
      <c r="D203" s="6"/>
      <c r="E203" s="6"/>
      <c r="F203" s="6"/>
    </row>
    <row r="204" spans="1:6" ht="11.25" customHeight="1">
      <c r="A204" s="4" t="s">
        <v>102</v>
      </c>
      <c r="B204" s="4"/>
      <c r="C204" s="4"/>
      <c r="D204" s="4"/>
      <c r="E204" s="4"/>
      <c r="F204" s="11">
        <f>F125</f>
        <v>0.3628588439218212</v>
      </c>
    </row>
    <row r="205" spans="1:6" ht="11.25" customHeight="1">
      <c r="A205" s="4" t="s">
        <v>103</v>
      </c>
      <c r="B205" s="4"/>
      <c r="C205" s="4"/>
      <c r="D205" s="4"/>
      <c r="E205" s="4"/>
      <c r="F205" s="11">
        <f>F133</f>
        <v>0.03176927512886598</v>
      </c>
    </row>
    <row r="206" spans="1:6" ht="11.25" customHeight="1">
      <c r="A206" s="4" t="s">
        <v>104</v>
      </c>
      <c r="B206" s="4"/>
      <c r="C206" s="4"/>
      <c r="D206" s="4"/>
      <c r="E206" s="4"/>
      <c r="F206" s="11">
        <f>F155</f>
        <v>1.1401670103092785</v>
      </c>
    </row>
    <row r="207" spans="1:6" ht="11.25" customHeight="1">
      <c r="A207" s="4" t="s">
        <v>105</v>
      </c>
      <c r="B207" s="4"/>
      <c r="C207" s="4"/>
      <c r="D207" s="4"/>
      <c r="E207" s="4"/>
      <c r="F207" s="11">
        <f>F202</f>
        <v>1.0479667804982817</v>
      </c>
    </row>
    <row r="208" spans="1:6" ht="11.25" customHeight="1">
      <c r="A208" s="4" t="s">
        <v>106</v>
      </c>
      <c r="B208" s="4"/>
      <c r="C208" s="4"/>
      <c r="D208" s="4"/>
      <c r="E208" s="4"/>
      <c r="F208" s="12">
        <f>SUM(F204:F207)</f>
        <v>2.5827619098582475</v>
      </c>
    </row>
    <row r="209" spans="1:6" ht="11.25" customHeight="1">
      <c r="A209" s="4"/>
      <c r="B209" s="4"/>
      <c r="C209" s="4"/>
      <c r="D209" s="4"/>
      <c r="E209" s="4"/>
      <c r="F209" s="12"/>
    </row>
    <row r="210" spans="1:6" ht="11.25" customHeight="1">
      <c r="A210" s="5" t="s">
        <v>107</v>
      </c>
      <c r="B210" s="6"/>
      <c r="C210" s="6"/>
      <c r="D210" s="6"/>
      <c r="E210" s="6"/>
      <c r="F210" s="6"/>
    </row>
    <row r="211" spans="1:6" ht="11.25" customHeight="1">
      <c r="A211" s="4" t="s">
        <v>26</v>
      </c>
      <c r="B211" s="4"/>
      <c r="C211" s="4"/>
      <c r="D211" s="4"/>
      <c r="E211" s="4"/>
      <c r="F211" s="11">
        <f>F48</f>
        <v>0.7652484831578947</v>
      </c>
    </row>
    <row r="212" spans="1:6" ht="11.25" customHeight="1">
      <c r="A212" s="4" t="s">
        <v>106</v>
      </c>
      <c r="B212" s="4"/>
      <c r="C212" s="4"/>
      <c r="D212" s="4"/>
      <c r="E212" s="4"/>
      <c r="F212" s="11">
        <f>F208</f>
        <v>2.5827619098582475</v>
      </c>
    </row>
    <row r="213" spans="1:6" ht="11.25" customHeight="1">
      <c r="A213" s="4" t="s">
        <v>107</v>
      </c>
      <c r="B213" s="4"/>
      <c r="C213" s="4"/>
      <c r="D213" s="4"/>
      <c r="E213" s="4"/>
      <c r="F213" s="12">
        <f>F211+F212</f>
        <v>3.3480103930161422</v>
      </c>
    </row>
    <row r="214" spans="1:6" ht="11.25" customHeight="1">
      <c r="A214" s="4"/>
      <c r="B214" s="4"/>
      <c r="C214" s="4"/>
      <c r="D214" s="4"/>
      <c r="E214" s="4"/>
      <c r="F214" s="4"/>
    </row>
    <row r="215" spans="1:6" ht="11.25" customHeight="1">
      <c r="A215" s="4" t="s">
        <v>108</v>
      </c>
      <c r="B215" s="4"/>
      <c r="C215" s="4" t="s">
        <v>109</v>
      </c>
      <c r="D215" s="4" t="s">
        <v>110</v>
      </c>
      <c r="E215" s="4"/>
      <c r="F215" s="4"/>
    </row>
    <row r="216" spans="1:6" ht="11.25" customHeight="1">
      <c r="A216" s="4" t="s">
        <v>111</v>
      </c>
      <c r="B216" s="4"/>
      <c r="C216" s="17">
        <v>3</v>
      </c>
      <c r="D216" s="4"/>
      <c r="E216" s="4"/>
      <c r="F216" s="4"/>
    </row>
    <row r="217" spans="1:6" ht="11.25" customHeight="1">
      <c r="A217" s="4" t="s">
        <v>112</v>
      </c>
      <c r="B217" s="4"/>
      <c r="C217" s="17">
        <v>1.65</v>
      </c>
      <c r="D217" s="4"/>
      <c r="E217" s="4"/>
      <c r="F217" s="4"/>
    </row>
    <row r="218" spans="1:6" ht="11.25" customHeight="1" thickBot="1">
      <c r="A218" s="4" t="s">
        <v>113</v>
      </c>
      <c r="B218" s="4"/>
      <c r="C218" s="13">
        <f>SUM(C216:C217)</f>
        <v>4.65</v>
      </c>
      <c r="D218" s="11">
        <f>100/(100-C218)-1</f>
        <v>0.04876769795490299</v>
      </c>
      <c r="E218" s="4"/>
      <c r="F218" s="4">
        <f>F213*D218</f>
        <v>0.16327475959648727</v>
      </c>
    </row>
    <row r="219" spans="1:6" ht="18" customHeight="1" thickBot="1">
      <c r="A219" s="4" t="s">
        <v>183</v>
      </c>
      <c r="B219" s="4"/>
      <c r="C219" s="4"/>
      <c r="D219" s="4"/>
      <c r="E219" s="4"/>
      <c r="F219" s="42">
        <f>F213+F218</f>
        <v>3.5112851526126296</v>
      </c>
    </row>
    <row r="220" spans="1:6" ht="11.25" customHeight="1">
      <c r="A220" s="23" t="s">
        <v>163</v>
      </c>
      <c r="B220" s="23"/>
      <c r="C220" s="23"/>
      <c r="D220" s="23"/>
      <c r="E220" s="23"/>
      <c r="F220" s="16">
        <v>1320</v>
      </c>
    </row>
    <row r="221" spans="1:6" ht="11.25" customHeight="1">
      <c r="A221" s="4" t="s">
        <v>114</v>
      </c>
      <c r="B221" s="4"/>
      <c r="C221" s="4"/>
      <c r="D221" s="4"/>
      <c r="E221" s="4"/>
      <c r="F221" s="11">
        <f>(F220/F92)*1</f>
        <v>0.4252577319587629</v>
      </c>
    </row>
    <row r="222" spans="1:6" ht="11.25" customHeight="1">
      <c r="A222" s="4"/>
      <c r="B222" s="4"/>
      <c r="C222" s="4"/>
      <c r="D222" s="4"/>
      <c r="E222" s="4"/>
      <c r="F222" s="4"/>
    </row>
    <row r="223" spans="1:6" ht="11.25" customHeight="1">
      <c r="A223" s="6" t="s">
        <v>115</v>
      </c>
      <c r="B223" s="6"/>
      <c r="C223" s="6"/>
      <c r="D223" s="6"/>
      <c r="E223" s="6" t="s">
        <v>116</v>
      </c>
      <c r="F223" s="6" t="s">
        <v>117</v>
      </c>
    </row>
    <row r="224" spans="1:6" ht="11.25" customHeight="1">
      <c r="A224" s="4" t="s">
        <v>118</v>
      </c>
      <c r="B224" s="4"/>
      <c r="C224" s="4"/>
      <c r="D224" s="4"/>
      <c r="E224" s="4">
        <f>SUM(E225:E227)</f>
        <v>0.7652484831578947</v>
      </c>
      <c r="F224" s="4">
        <f>F225+F226+F227</f>
        <v>0.22171442320780327</v>
      </c>
    </row>
    <row r="225" spans="1:6" ht="11.25" customHeight="1">
      <c r="A225" s="4" t="s">
        <v>119</v>
      </c>
      <c r="B225" s="4"/>
      <c r="C225" s="4"/>
      <c r="D225" s="4"/>
      <c r="E225" s="4">
        <f>F45</f>
        <v>0.65711</v>
      </c>
      <c r="F225" s="13">
        <f>E225/E244</f>
        <v>0.19038360459450793</v>
      </c>
    </row>
    <row r="226" spans="1:6" ht="11.25" customHeight="1">
      <c r="A226" s="4" t="s">
        <v>120</v>
      </c>
      <c r="B226" s="4"/>
      <c r="C226" s="4"/>
      <c r="D226" s="4"/>
      <c r="E226" s="4">
        <f>F46</f>
        <v>0.08603322</v>
      </c>
      <c r="F226" s="4">
        <f>E226/E244</f>
        <v>0.024926290177401517</v>
      </c>
    </row>
    <row r="227" spans="1:6" ht="11.25" customHeight="1">
      <c r="A227" s="4" t="s">
        <v>121</v>
      </c>
      <c r="B227" s="4"/>
      <c r="C227" s="4"/>
      <c r="D227" s="4"/>
      <c r="E227" s="4">
        <f>F47</f>
        <v>0.022105263157894735</v>
      </c>
      <c r="F227" s="4">
        <f>E227/E244</f>
        <v>0.0064045284358938</v>
      </c>
    </row>
    <row r="228" spans="1:6" ht="11.25" customHeight="1">
      <c r="A228" s="4" t="s">
        <v>122</v>
      </c>
      <c r="B228" s="4"/>
      <c r="C228" s="4"/>
      <c r="D228" s="4"/>
      <c r="E228" s="4">
        <f>E229+E233+E234+E237</f>
        <v>2.5229819506658075</v>
      </c>
      <c r="F228" s="4">
        <f>F229+F233+F234+F237</f>
        <v>0.7309801982843654</v>
      </c>
    </row>
    <row r="229" spans="1:6" ht="11.25" customHeight="1">
      <c r="A229" s="4" t="s">
        <v>123</v>
      </c>
      <c r="B229" s="4"/>
      <c r="C229" s="4"/>
      <c r="D229" s="4"/>
      <c r="E229" s="4">
        <f>SUM(E230:E232)</f>
        <v>0.3030788847293814</v>
      </c>
      <c r="F229" s="4">
        <f>F230+F231+F232</f>
        <v>0.087810641370947</v>
      </c>
    </row>
    <row r="230" spans="1:6" ht="11.25" customHeight="1">
      <c r="A230" s="4" t="s">
        <v>124</v>
      </c>
      <c r="B230" s="4"/>
      <c r="C230" s="4"/>
      <c r="D230" s="4"/>
      <c r="E230" s="4">
        <f>F104</f>
        <v>0.28592347615979374</v>
      </c>
      <c r="F230" s="4">
        <f>E230/E244</f>
        <v>0.08284022770844057</v>
      </c>
    </row>
    <row r="231" spans="1:6" ht="11.25" customHeight="1">
      <c r="A231" s="4" t="s">
        <v>125</v>
      </c>
      <c r="B231" s="4"/>
      <c r="C231" s="4"/>
      <c r="D231" s="4"/>
      <c r="E231" s="4">
        <f>F110</f>
        <v>0.007624626030927835</v>
      </c>
      <c r="F231" s="4">
        <f>E231/E244</f>
        <v>0.0022090727388917493</v>
      </c>
    </row>
    <row r="232" spans="1:6" ht="11.25" customHeight="1">
      <c r="A232" s="4" t="s">
        <v>126</v>
      </c>
      <c r="B232" s="4"/>
      <c r="C232" s="4"/>
      <c r="D232" s="4"/>
      <c r="E232" s="4">
        <f>F115</f>
        <v>0.009530782538659794</v>
      </c>
      <c r="F232" s="4">
        <f>E232/E244</f>
        <v>0.0027613409236146866</v>
      </c>
    </row>
    <row r="233" spans="1:6" ht="11.25" customHeight="1">
      <c r="A233" s="4" t="s">
        <v>127</v>
      </c>
      <c r="B233" s="4"/>
      <c r="C233" s="4"/>
      <c r="D233" s="4"/>
      <c r="E233" s="4">
        <f>F133</f>
        <v>0.03176927512886598</v>
      </c>
      <c r="F233" s="4">
        <f>E233/E244</f>
        <v>0.009204469745382289</v>
      </c>
    </row>
    <row r="234" spans="1:6" ht="11.25" customHeight="1">
      <c r="A234" s="4" t="s">
        <v>128</v>
      </c>
      <c r="B234" s="4"/>
      <c r="C234" s="4"/>
      <c r="D234" s="4"/>
      <c r="E234" s="4">
        <f>SUM(E235:E236)</f>
        <v>1.1401670103092785</v>
      </c>
      <c r="F234" s="4">
        <f>F235+F236</f>
        <v>0.3303390684397192</v>
      </c>
    </row>
    <row r="235" spans="1:6" ht="11.25" customHeight="1">
      <c r="A235" s="4" t="s">
        <v>129</v>
      </c>
      <c r="B235" s="4"/>
      <c r="C235" s="4"/>
      <c r="D235" s="4"/>
      <c r="E235" s="4">
        <f>F143</f>
        <v>1.0365154639175258</v>
      </c>
      <c r="F235" s="13">
        <f>E235/E244</f>
        <v>0.3003082440361084</v>
      </c>
    </row>
    <row r="236" spans="1:6" ht="11.25" customHeight="1">
      <c r="A236" s="4" t="s">
        <v>130</v>
      </c>
      <c r="B236" s="4"/>
      <c r="C236" s="4"/>
      <c r="D236" s="4"/>
      <c r="E236" s="4">
        <f>F148</f>
        <v>0.1036515463917526</v>
      </c>
      <c r="F236" s="4">
        <f>E236/E244</f>
        <v>0.030030824403610844</v>
      </c>
    </row>
    <row r="237" spans="1:6" ht="11.25" customHeight="1">
      <c r="A237" s="4" t="s">
        <v>131</v>
      </c>
      <c r="B237" s="4"/>
      <c r="C237" s="4"/>
      <c r="D237" s="4"/>
      <c r="E237" s="4">
        <f>SUM(E238:E242)</f>
        <v>1.0479667804982817</v>
      </c>
      <c r="F237" s="4">
        <f>F238+F239+F240+F241+F242</f>
        <v>0.30362601872831696</v>
      </c>
    </row>
    <row r="238" spans="1:6" ht="11.25" customHeight="1">
      <c r="A238" s="4" t="s">
        <v>132</v>
      </c>
      <c r="B238" s="4"/>
      <c r="C238" s="4"/>
      <c r="D238" s="4"/>
      <c r="E238" s="4">
        <f>F165</f>
        <v>0.1036515463917526</v>
      </c>
      <c r="F238" s="4">
        <f>E238/E244</f>
        <v>0.030030824403610844</v>
      </c>
    </row>
    <row r="239" spans="1:6" ht="11.25" customHeight="1">
      <c r="A239" s="4" t="s">
        <v>133</v>
      </c>
      <c r="B239" s="4"/>
      <c r="C239" s="4"/>
      <c r="D239" s="4"/>
      <c r="E239" s="4">
        <f>F172</f>
        <v>0.031095463917525778</v>
      </c>
      <c r="F239" s="4">
        <f>E239/E244</f>
        <v>0.009009247321083253</v>
      </c>
    </row>
    <row r="240" spans="1:6" ht="11.25" customHeight="1">
      <c r="A240" s="4" t="s">
        <v>134</v>
      </c>
      <c r="B240" s="4"/>
      <c r="C240" s="4"/>
      <c r="D240" s="4"/>
      <c r="E240" s="4">
        <f>F179</f>
        <v>0.13327641752577318</v>
      </c>
      <c r="F240" s="4">
        <f>E240/E244</f>
        <v>0.03861399883733218</v>
      </c>
    </row>
    <row r="241" spans="1:6" ht="11.25" customHeight="1">
      <c r="A241" s="4" t="s">
        <v>135</v>
      </c>
      <c r="B241" s="4"/>
      <c r="C241" s="4"/>
      <c r="D241" s="4"/>
      <c r="E241" s="4">
        <f>F186</f>
        <v>0.006747476374570447</v>
      </c>
      <c r="F241" s="4">
        <f>E241/E244</f>
        <v>0.0019549373378992922</v>
      </c>
    </row>
    <row r="242" spans="1:6" ht="11.25" customHeight="1">
      <c r="A242" s="4" t="s">
        <v>136</v>
      </c>
      <c r="B242" s="4"/>
      <c r="C242" s="4"/>
      <c r="D242" s="4"/>
      <c r="E242" s="4">
        <f>F193</f>
        <v>0.7731958762886598</v>
      </c>
      <c r="F242" s="4">
        <f>E242/E244</f>
        <v>0.2240170108283914</v>
      </c>
    </row>
    <row r="243" spans="1:6" ht="11.25" customHeight="1">
      <c r="A243" s="4" t="s">
        <v>137</v>
      </c>
      <c r="B243" s="4"/>
      <c r="C243" s="4"/>
      <c r="D243" s="4"/>
      <c r="E243" s="4">
        <f>F218</f>
        <v>0.16327475959648727</v>
      </c>
      <c r="F243" s="13">
        <f>E243/E244</f>
        <v>0.04730537850783122</v>
      </c>
    </row>
    <row r="244" spans="1:6" ht="11.25" customHeight="1">
      <c r="A244" s="4" t="s">
        <v>138</v>
      </c>
      <c r="B244" s="4"/>
      <c r="C244" s="4"/>
      <c r="D244" s="4"/>
      <c r="E244" s="4">
        <f>E224+E228+E243</f>
        <v>3.4515051934201897</v>
      </c>
      <c r="F244" s="4">
        <f>F224+F228+F243</f>
        <v>1</v>
      </c>
    </row>
    <row r="247" spans="4:6" ht="11.25" customHeight="1">
      <c r="D247" s="56" t="s">
        <v>187</v>
      </c>
      <c r="E247" s="56"/>
      <c r="F247" s="56"/>
    </row>
  </sheetData>
  <sheetProtection password="E812" sheet="1"/>
  <mergeCells count="30">
    <mergeCell ref="A157:F158"/>
    <mergeCell ref="D247:F247"/>
    <mergeCell ref="A57:B57"/>
    <mergeCell ref="A58:B58"/>
    <mergeCell ref="A56:B56"/>
    <mergeCell ref="A59:B59"/>
    <mergeCell ref="A71:B71"/>
    <mergeCell ref="A65:B65"/>
    <mergeCell ref="A66:B66"/>
    <mergeCell ref="A67:B67"/>
    <mergeCell ref="A135:F136"/>
    <mergeCell ref="A127:F128"/>
    <mergeCell ref="A68:B68"/>
    <mergeCell ref="A69:B69"/>
    <mergeCell ref="A70:B70"/>
    <mergeCell ref="B8:F8"/>
    <mergeCell ref="A61:B61"/>
    <mergeCell ref="A62:B62"/>
    <mergeCell ref="A63:B63"/>
    <mergeCell ref="A64:B64"/>
    <mergeCell ref="A1:F2"/>
    <mergeCell ref="A3:F4"/>
    <mergeCell ref="A85:F86"/>
    <mergeCell ref="A12:F13"/>
    <mergeCell ref="A52:F53"/>
    <mergeCell ref="E9:E10"/>
    <mergeCell ref="F9:F10"/>
    <mergeCell ref="A7:F7"/>
    <mergeCell ref="A5:F6"/>
    <mergeCell ref="A60:B6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1" r:id="rId1"/>
  <rowBreaks count="2" manualBreakCount="2">
    <brk id="84" max="255" man="1"/>
    <brk id="156" max="255" man="1"/>
  </rowBreaks>
  <ignoredErrors>
    <ignoredError sqref="F171 F178 F164" formula="1"/>
    <ignoredError sqref="C19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Débora - Educ</cp:lastModifiedBy>
  <cp:lastPrinted>2018-12-27T12:50:15Z</cp:lastPrinted>
  <dcterms:created xsi:type="dcterms:W3CDTF">2006-11-21T01:49:37Z</dcterms:created>
  <dcterms:modified xsi:type="dcterms:W3CDTF">2018-12-27T12:50:23Z</dcterms:modified>
  <cp:category/>
  <cp:version/>
  <cp:contentType/>
  <cp:contentStatus/>
</cp:coreProperties>
</file>